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eage Log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Lists &amp; 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MM/DD/YYYY"/>
    <numFmt numFmtId="165" formatCode="&quot;$&quot;#,##0.00"/>
    <numFmt numFmtId="166" formatCode="#,##0.0"/>
    <numFmt numFmtId="167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i val="1"/>
      <color rgb="00374151"/>
      <sz val="9"/>
    </font>
    <font>
      <name val="Calibri"/>
      <b val="1"/>
      <color rgb="00FFFFFF"/>
      <sz val="11"/>
    </font>
    <font>
      <name val="Calibri"/>
      <b val="1"/>
      <color rgb="001E293B"/>
      <sz val="11"/>
    </font>
    <font>
      <b val="1"/>
      <color rgb="001E293B"/>
      <sz val="14"/>
    </font>
    <font>
      <b val="1"/>
      <color rgb="0016A34A"/>
    </font>
    <font>
      <color rgb="001E293B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D80621"/>
      </patternFill>
    </fill>
    <fill>
      <patternFill patternType="solid">
        <fgColor rgb="00FFFFFF"/>
      </patternFill>
    </fill>
  </fills>
  <borders count="10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 style="thin">
        <color rgb="00D1D5DB"/>
      </left>
      <right/>
      <top/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/>
      <bottom/>
      <diagonal/>
    </border>
    <border>
      <left style="thin">
        <color rgb="00D1D5DB"/>
      </left>
      <right/>
      <top/>
      <bottom style="thin">
        <color rgb="00D1D5DB"/>
      </bottom>
      <diagonal/>
    </border>
    <border>
      <left/>
      <right/>
      <top/>
      <bottom style="thin">
        <color rgb="00D1D5DB"/>
      </bottom>
      <diagonal/>
    </border>
    <border>
      <left/>
      <right style="thin">
        <color rgb="00D1D5DB"/>
      </right>
      <top/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3" fontId="0" fillId="3" borderId="1" pivotButton="0" quotePrefix="0" xfId="0"/>
    <xf numFmtId="3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5" fontId="0" fillId="3" borderId="1" pivotButton="0" quotePrefix="0" xfId="0"/>
    <xf numFmtId="0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3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4" fillId="0" borderId="0" pivotButton="0" quotePrefix="0" xfId="0"/>
    <xf numFmtId="0" fontId="0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3" fontId="5" fillId="6" borderId="1" applyAlignment="1" pivotButton="0" quotePrefix="0" xfId="0">
      <alignment horizontal="center" vertical="center" wrapText="1"/>
    </xf>
    <xf numFmtId="166" fontId="5" fillId="6" borderId="1" applyAlignment="1" pivotButton="0" quotePrefix="0" xfId="0">
      <alignment horizontal="center" vertical="center" wrapText="1"/>
    </xf>
    <xf numFmtId="165" fontId="5" fillId="6" borderId="1" applyAlignment="1" pivotButton="0" quotePrefix="0" xfId="0">
      <alignment horizontal="center" vertical="center" wrapText="1"/>
    </xf>
    <xf numFmtId="167" fontId="6" fillId="0" borderId="0" pivotButton="0" quotePrefix="0" xfId="0"/>
    <xf numFmtId="0" fontId="3" fillId="2" borderId="1" pivotButton="0" quotePrefix="0" xfId="0"/>
    <xf numFmtId="3" fontId="0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3" fontId="0" fillId="4" borderId="1" pivotButton="0" quotePrefix="0" xfId="0"/>
    <xf numFmtId="165" fontId="0" fillId="4" borderId="1" pivotButton="0" quotePrefix="0" xfId="0"/>
    <xf numFmtId="0" fontId="0" fillId="4" borderId="1" pivotButton="0" quotePrefix="0" xfId="0"/>
    <xf numFmtId="0" fontId="7" fillId="0" borderId="0" applyAlignment="1" pivotButton="0" quotePrefix="0" xfId="0">
      <alignment horizontal="left" vertical="center" wrapText="1"/>
    </xf>
    <xf numFmtId="0" fontId="3" fillId="5" borderId="0" pivotButton="0" quotePrefix="0" xfId="0"/>
    <xf numFmtId="0" fontId="3" fillId="5" borderId="1" pivotButton="0" quotePrefix="0" xfId="0"/>
    <xf numFmtId="165" fontId="3" fillId="3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0" fillId="0" borderId="2" pivotButton="0" quotePrefix="0" xfId="0"/>
    <xf numFmtId="0" fontId="0" fillId="0" borderId="4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3" fillId="5" borderId="8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Reimbursement by Employee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Dashboard'!F18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Dashboard'!$E$19:$E$28</f>
            </numRef>
          </cat>
          <val>
            <numRef>
              <f>'Summary Dashboard'!$F$19:$F$28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Reimbursement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Business Miles</a:t>
            </a:r>
          </a:p>
        </rich>
      </tx>
    </title>
    <plotArea>
      <lineChart>
        <grouping val="standard"/>
        <ser>
          <idx val="0"/>
          <order val="0"/>
          <tx>
            <strRef>
              <f>'Summary Dashboard'!B18</f>
            </strRef>
          </tx>
          <spPr>
            <a:ln xmlns:a="http://schemas.openxmlformats.org/drawingml/2006/main" w="20000">
              <a:solidFill>
                <a:srgbClr val="D8062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 Dashboard'!$A$19:$A$30</f>
            </numRef>
          </cat>
          <val>
            <numRef>
              <f>'Summary Dashboard'!$B$19:$B$30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Miles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Approved vs Pending Trips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Dashboard'!I18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Dashboard'!$H$19:$H$21</f>
            </numRef>
          </cat>
          <val>
            <numRef>
              <f>'Summary Dashboard'!$I$19:$I$21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40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22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MileageLog" displayName="MileageLog" ref="A3:R13" headerRowCount="1">
  <autoFilter ref="A3:R13"/>
  <tableColumns count="18">
    <tableColumn id="1" name="Trip ID"/>
    <tableColumn id="2" name="Trip Date"/>
    <tableColumn id="3" name="Employee Name"/>
    <tableColumn id="4" name="Department"/>
    <tableColumn id="5" name="Start Location"/>
    <tableColumn id="6" name="Destination"/>
    <tableColumn id="7" name="Business Purpose"/>
    <tableColumn id="8" name="Odometer Start"/>
    <tableColumn id="9" name="Odometer End"/>
    <tableColumn id="10" name="Business Miles"/>
    <tableColumn id="11" name="Mileage Rate"/>
    <tableColumn id="12" name="Reimbursement Amount"/>
    <tableColumn id="13" name="Parking/Tolls"/>
    <tableColumn id="14" name="Total Reimbursement"/>
    <tableColumn id="15" name="Expense Category"/>
    <tableColumn id="16" name="Approval Status"/>
    <tableColumn id="17" name="Receipt Included?"/>
    <tableColumn id="18" name="Notes"/>
  </tableColumns>
  <tableStyleInfo name="TableStyleMedium2" showFirstColumn="0" showLastColumn="0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8" customWidth="1" min="3" max="3"/>
    <col width="12" customWidth="1" min="4" max="4"/>
    <col width="16" customWidth="1" min="5" max="5"/>
    <col width="16" customWidth="1" min="6" max="6"/>
    <col width="20" customWidth="1" min="7" max="7"/>
    <col width="14" customWidth="1" min="8" max="8"/>
    <col width="14" customWidth="1" min="9" max="9"/>
    <col width="12" customWidth="1" min="10" max="10"/>
    <col width="11" customWidth="1" min="11" max="11"/>
    <col width="16" customWidth="1" min="12" max="12"/>
    <col width="12" customWidth="1" min="13" max="13"/>
    <col width="16" customWidth="1" min="14" max="14"/>
    <col width="16" customWidth="1" min="15" max="15"/>
    <col width="14" customWidth="1" min="16" max="16"/>
    <col width="14" customWidth="1" min="17" max="17"/>
    <col width="22" customWidth="1" min="18" max="18"/>
  </cols>
  <sheetData>
    <row r="1" ht="24" customHeight="1">
      <c r="A1" s="1" t="inlineStr">
        <is>
          <t>Business Mileage Reimbursement Tracker - Mileage Log</t>
        </is>
      </c>
    </row>
    <row r="2" ht="18" customHeight="1">
      <c r="A2" s="2" t="inlineStr">
        <is>
          <t>Configurable mileage rate placeholder: $0.70/mile for 2026. Verify the current IRS standard mileage rate before use. See Lists &amp; Instructions sheet for the rate table.</t>
        </is>
      </c>
    </row>
    <row r="3" ht="32" customHeight="1">
      <c r="A3" s="3" t="inlineStr">
        <is>
          <t>Trip ID</t>
        </is>
      </c>
      <c r="B3" s="3" t="inlineStr">
        <is>
          <t>Trip Date</t>
        </is>
      </c>
      <c r="C3" s="3" t="inlineStr">
        <is>
          <t>Employee Name</t>
        </is>
      </c>
      <c r="D3" s="3" t="inlineStr">
        <is>
          <t>Department</t>
        </is>
      </c>
      <c r="E3" s="3" t="inlineStr">
        <is>
          <t>Start Location</t>
        </is>
      </c>
      <c r="F3" s="3" t="inlineStr">
        <is>
          <t>Destination</t>
        </is>
      </c>
      <c r="G3" s="3" t="inlineStr">
        <is>
          <t>Business Purpose</t>
        </is>
      </c>
      <c r="H3" s="3" t="inlineStr">
        <is>
          <t>Odometer Start</t>
        </is>
      </c>
      <c r="I3" s="3" t="inlineStr">
        <is>
          <t>Odometer End</t>
        </is>
      </c>
      <c r="J3" s="3" t="inlineStr">
        <is>
          <t>Business Miles</t>
        </is>
      </c>
      <c r="K3" s="3" t="inlineStr">
        <is>
          <t>Mileage Rate</t>
        </is>
      </c>
      <c r="L3" s="3" t="inlineStr">
        <is>
          <t>Reimbursement Amount</t>
        </is>
      </c>
      <c r="M3" s="3" t="inlineStr">
        <is>
          <t>Parking/Tolls</t>
        </is>
      </c>
      <c r="N3" s="3" t="inlineStr">
        <is>
          <t>Total Reimbursement</t>
        </is>
      </c>
      <c r="O3" s="3" t="inlineStr">
        <is>
          <t>Expense Category</t>
        </is>
      </c>
      <c r="P3" s="3" t="inlineStr">
        <is>
          <t>Approval Status</t>
        </is>
      </c>
      <c r="Q3" s="3" t="inlineStr">
        <is>
          <t>Receipt Included?</t>
        </is>
      </c>
      <c r="R3" s="3" t="inlineStr">
        <is>
          <t>Notes</t>
        </is>
      </c>
    </row>
    <row r="4">
      <c r="A4" s="4" t="inlineStr">
        <is>
          <t>TRIP-001</t>
        </is>
      </c>
      <c r="B4" s="5" t="inlineStr">
        <is>
          <t>01/08/2026</t>
        </is>
      </c>
      <c r="C4" s="4" t="inlineStr">
        <is>
          <t>Michael Johnson</t>
        </is>
      </c>
      <c r="D4" s="4" t="inlineStr">
        <is>
          <t>Sales</t>
        </is>
      </c>
      <c r="E4" s="6" t="inlineStr">
        <is>
          <t>Austin, TX</t>
        </is>
      </c>
      <c r="F4" s="6" t="inlineStr">
        <is>
          <t>Round Rock, TX</t>
        </is>
      </c>
      <c r="G4" s="6" t="inlineStr">
        <is>
          <t>Client meeting</t>
        </is>
      </c>
      <c r="H4" s="7" t="n">
        <v>15230</v>
      </c>
      <c r="I4" s="7" t="n">
        <v>15252</v>
      </c>
      <c r="J4" s="8">
        <f>IF(OR(H4="",I4=""),"",I4-H4)</f>
        <v/>
      </c>
      <c r="K4" s="9">
        <f>IFERROR(VLOOKUP(YEAR(B4),'Lists &amp; Instructions'!$B$25:$C$27,2,FALSE),0.7)</f>
        <v/>
      </c>
      <c r="L4" s="9">
        <f>IF(J4="","",J4*K4)</f>
        <v/>
      </c>
      <c r="M4" s="10" t="n">
        <v>5</v>
      </c>
      <c r="N4" s="9">
        <f>IF(L4="","",L4+M4)</f>
        <v/>
      </c>
      <c r="O4" s="4" t="inlineStr">
        <is>
          <t>Client Meeting</t>
        </is>
      </c>
      <c r="P4" s="4" t="inlineStr">
        <is>
          <t>Approved</t>
        </is>
      </c>
      <c r="Q4" s="4" t="inlineStr">
        <is>
          <t>Yes</t>
        </is>
      </c>
      <c r="R4" s="6" t="inlineStr"/>
    </row>
    <row r="5">
      <c r="A5" s="11" t="inlineStr">
        <is>
          <t>TRIP-002</t>
        </is>
      </c>
      <c r="B5" s="12" t="inlineStr">
        <is>
          <t>01/22/2026</t>
        </is>
      </c>
      <c r="C5" s="11" t="inlineStr">
        <is>
          <t>Jennifer Martinez</t>
        </is>
      </c>
      <c r="D5" s="11" t="inlineStr">
        <is>
          <t>Marketing</t>
        </is>
      </c>
      <c r="E5" s="13" t="inlineStr">
        <is>
          <t>Denver, CO</t>
        </is>
      </c>
      <c r="F5" s="13" t="inlineStr">
        <is>
          <t>Aurora, CO</t>
        </is>
      </c>
      <c r="G5" s="13" t="inlineStr">
        <is>
          <t>Vendor site visit</t>
        </is>
      </c>
      <c r="H5" s="7" t="n">
        <v>45210</v>
      </c>
      <c r="I5" s="7" t="n">
        <v>45238</v>
      </c>
      <c r="J5" s="14">
        <f>IF(OR(H5="",I5=""),"",I5-H5)</f>
        <v/>
      </c>
      <c r="K5" s="15">
        <f>IFERROR(VLOOKUP(YEAR(B5),'Lists &amp; Instructions'!$B$25:$C$27,2,FALSE),0.7)</f>
        <v/>
      </c>
      <c r="L5" s="15">
        <f>IF(J5="","",J5*K5)</f>
        <v/>
      </c>
      <c r="M5" s="10" t="n">
        <v>0</v>
      </c>
      <c r="N5" s="15">
        <f>IF(L5="","",L5+M5)</f>
        <v/>
      </c>
      <c r="O5" s="11" t="inlineStr">
        <is>
          <t>Vendor Meeting</t>
        </is>
      </c>
      <c r="P5" s="11" t="inlineStr">
        <is>
          <t>Approved</t>
        </is>
      </c>
      <c r="Q5" s="11" t="inlineStr">
        <is>
          <t>No</t>
        </is>
      </c>
      <c r="R5" s="13" t="inlineStr"/>
    </row>
    <row r="6">
      <c r="A6" s="4" t="inlineStr">
        <is>
          <t>TRIP-003</t>
        </is>
      </c>
      <c r="B6" s="5" t="inlineStr">
        <is>
          <t>02/05/2026</t>
        </is>
      </c>
      <c r="C6" s="4" t="inlineStr">
        <is>
          <t>James Wilson</t>
        </is>
      </c>
      <c r="D6" s="4" t="inlineStr">
        <is>
          <t>Operations</t>
        </is>
      </c>
      <c r="E6" s="6" t="inlineStr">
        <is>
          <t>Columbus, OH</t>
        </is>
      </c>
      <c r="F6" s="6" t="inlineStr">
        <is>
          <t>Dublin, OH</t>
        </is>
      </c>
      <c r="G6" s="6" t="inlineStr">
        <is>
          <t>Warehouse inspection</t>
        </is>
      </c>
      <c r="H6" s="7" t="n">
        <v>78120</v>
      </c>
      <c r="I6" s="7" t="n">
        <v>78145</v>
      </c>
      <c r="J6" s="8">
        <f>IF(OR(H6="",I6=""),"",I6-H6)</f>
        <v/>
      </c>
      <c r="K6" s="9">
        <f>IFERROR(VLOOKUP(YEAR(B6),'Lists &amp; Instructions'!$B$25:$C$27,2,FALSE),0.7)</f>
        <v/>
      </c>
      <c r="L6" s="9">
        <f>IF(J6="","",J6*K6)</f>
        <v/>
      </c>
      <c r="M6" s="10" t="n">
        <v>12.5</v>
      </c>
      <c r="N6" s="9">
        <f>IF(L6="","",L6+M6)</f>
        <v/>
      </c>
      <c r="O6" s="4" t="inlineStr">
        <is>
          <t>Site Visit</t>
        </is>
      </c>
      <c r="P6" s="4" t="inlineStr">
        <is>
          <t>Pending</t>
        </is>
      </c>
      <c r="Q6" s="4" t="inlineStr">
        <is>
          <t>Yes</t>
        </is>
      </c>
      <c r="R6" s="6" t="inlineStr"/>
    </row>
    <row r="7">
      <c r="A7" s="11" t="inlineStr">
        <is>
          <t>TRIP-004</t>
        </is>
      </c>
      <c r="B7" s="12" t="inlineStr">
        <is>
          <t>02/19/2026</t>
        </is>
      </c>
      <c r="C7" s="11" t="inlineStr">
        <is>
          <t>Emily Davis</t>
        </is>
      </c>
      <c r="D7" s="11" t="inlineStr">
        <is>
          <t>Sales</t>
        </is>
      </c>
      <c r="E7" s="13" t="inlineStr">
        <is>
          <t>Phoenix, AZ</t>
        </is>
      </c>
      <c r="F7" s="13" t="inlineStr">
        <is>
          <t>Scottsdale, AZ</t>
        </is>
      </c>
      <c r="G7" s="13" t="inlineStr">
        <is>
          <t>Client presentation</t>
        </is>
      </c>
      <c r="H7" s="7" t="n">
        <v>33210</v>
      </c>
      <c r="I7" s="7" t="n">
        <v>33355</v>
      </c>
      <c r="J7" s="14">
        <f>IF(OR(H7="",I7=""),"",I7-H7)</f>
        <v/>
      </c>
      <c r="K7" s="15">
        <f>IFERROR(VLOOKUP(YEAR(B7),'Lists &amp; Instructions'!$B$25:$C$27,2,FALSE),0.7)</f>
        <v/>
      </c>
      <c r="L7" s="15">
        <f>IF(J7="","",J7*K7)</f>
        <v/>
      </c>
      <c r="M7" s="10" t="n">
        <v>18</v>
      </c>
      <c r="N7" s="15">
        <f>IF(L7="","",L7+M7)</f>
        <v/>
      </c>
      <c r="O7" s="11" t="inlineStr">
        <is>
          <t>Client Meeting</t>
        </is>
      </c>
      <c r="P7" s="11" t="inlineStr">
        <is>
          <t>Approved</t>
        </is>
      </c>
      <c r="Q7" s="11" t="inlineStr">
        <is>
          <t>Yes</t>
        </is>
      </c>
      <c r="R7" s="13" t="inlineStr"/>
    </row>
    <row r="8">
      <c r="A8" s="4" t="inlineStr">
        <is>
          <t>TRIP-005</t>
        </is>
      </c>
      <c r="B8" s="5" t="inlineStr">
        <is>
          <t>03/04/2026</t>
        </is>
      </c>
      <c r="C8" s="4" t="inlineStr">
        <is>
          <t>David Brown</t>
        </is>
      </c>
      <c r="D8" s="4" t="inlineStr">
        <is>
          <t>Finance</t>
        </is>
      </c>
      <c r="E8" s="6" t="inlineStr">
        <is>
          <t>Atlanta, GA</t>
        </is>
      </c>
      <c r="F8" s="6" t="inlineStr">
        <is>
          <t>Marietta, GA</t>
        </is>
      </c>
      <c r="G8" s="6" t="inlineStr">
        <is>
          <t>Audit meeting</t>
        </is>
      </c>
      <c r="H8" s="7" t="n">
        <v>91240</v>
      </c>
      <c r="I8" s="7" t="n">
        <v>91260</v>
      </c>
      <c r="J8" s="8">
        <f>IF(OR(H8="",I8=""),"",I8-H8)</f>
        <v/>
      </c>
      <c r="K8" s="9">
        <f>IFERROR(VLOOKUP(YEAR(B8),'Lists &amp; Instructions'!$B$25:$C$27,2,FALSE),0.7)</f>
        <v/>
      </c>
      <c r="L8" s="9">
        <f>IF(J8="","",J8*K8)</f>
        <v/>
      </c>
      <c r="M8" s="10" t="n">
        <v>0</v>
      </c>
      <c r="N8" s="9">
        <f>IF(L8="","",L8+M8)</f>
        <v/>
      </c>
      <c r="O8" s="4" t="inlineStr">
        <is>
          <t>Client Meeting</t>
        </is>
      </c>
      <c r="P8" s="4" t="inlineStr">
        <is>
          <t>Approved</t>
        </is>
      </c>
      <c r="Q8" s="4" t="inlineStr">
        <is>
          <t>No</t>
        </is>
      </c>
      <c r="R8" s="6" t="inlineStr"/>
    </row>
    <row r="9">
      <c r="A9" s="11" t="inlineStr">
        <is>
          <t>TRIP-006</t>
        </is>
      </c>
      <c r="B9" s="12" t="inlineStr">
        <is>
          <t>03/18/2026</t>
        </is>
      </c>
      <c r="C9" s="11" t="inlineStr">
        <is>
          <t>Sarah Miller</t>
        </is>
      </c>
      <c r="D9" s="11" t="inlineStr">
        <is>
          <t>HR</t>
        </is>
      </c>
      <c r="E9" s="13" t="inlineStr">
        <is>
          <t>Seattle, WA</t>
        </is>
      </c>
      <c r="F9" s="13" t="inlineStr">
        <is>
          <t>Bellevue, WA</t>
        </is>
      </c>
      <c r="G9" s="13" t="inlineStr">
        <is>
          <t>Recruiting event</t>
        </is>
      </c>
      <c r="H9" s="7" t="n">
        <v>12040</v>
      </c>
      <c r="I9" s="7" t="n">
        <v>12088</v>
      </c>
      <c r="J9" s="14">
        <f>IF(OR(H9="",I9=""),"",I9-H9)</f>
        <v/>
      </c>
      <c r="K9" s="15">
        <f>IFERROR(VLOOKUP(YEAR(B9),'Lists &amp; Instructions'!$B$25:$C$27,2,FALSE),0.7)</f>
        <v/>
      </c>
      <c r="L9" s="15">
        <f>IF(J9="","",J9*K9)</f>
        <v/>
      </c>
      <c r="M9" s="10" t="n">
        <v>8.25</v>
      </c>
      <c r="N9" s="15">
        <f>IF(L9="","",L9+M9)</f>
        <v/>
      </c>
      <c r="O9" s="11" t="inlineStr">
        <is>
          <t>Training</t>
        </is>
      </c>
      <c r="P9" s="11" t="inlineStr">
        <is>
          <t>Pending</t>
        </is>
      </c>
      <c r="Q9" s="11" t="inlineStr">
        <is>
          <t>Yes</t>
        </is>
      </c>
      <c r="R9" s="13" t="inlineStr"/>
    </row>
    <row r="10">
      <c r="A10" s="4" t="inlineStr">
        <is>
          <t>TRIP-007</t>
        </is>
      </c>
      <c r="B10" s="5" t="inlineStr">
        <is>
          <t>04/09/2026</t>
        </is>
      </c>
      <c r="C10" s="4" t="inlineStr">
        <is>
          <t>Robert Anderson</t>
        </is>
      </c>
      <c r="D10" s="4" t="inlineStr">
        <is>
          <t>Sales</t>
        </is>
      </c>
      <c r="E10" s="6" t="inlineStr">
        <is>
          <t>Nashville, TN</t>
        </is>
      </c>
      <c r="F10" s="6" t="inlineStr">
        <is>
          <t>Franklin, TN</t>
        </is>
      </c>
      <c r="G10" s="6" t="inlineStr">
        <is>
          <t>Client onboarding</t>
        </is>
      </c>
      <c r="H10" s="7" t="n">
        <v>56780</v>
      </c>
      <c r="I10" s="7" t="n">
        <v>56830</v>
      </c>
      <c r="J10" s="8">
        <f>IF(OR(H10="",I10=""),"",I10-H10)</f>
        <v/>
      </c>
      <c r="K10" s="9">
        <f>IFERROR(VLOOKUP(YEAR(B10),'Lists &amp; Instructions'!$B$25:$C$27,2,FALSE),0.7)</f>
        <v/>
      </c>
      <c r="L10" s="9">
        <f>IF(J10="","",J10*K10)</f>
        <v/>
      </c>
      <c r="M10" s="10" t="n">
        <v>0</v>
      </c>
      <c r="N10" s="9">
        <f>IF(L10="","",L10+M10)</f>
        <v/>
      </c>
      <c r="O10" s="4" t="inlineStr">
        <is>
          <t>Client Meeting</t>
        </is>
      </c>
      <c r="P10" s="4" t="inlineStr">
        <is>
          <t>Approved</t>
        </is>
      </c>
      <c r="Q10" s="4" t="inlineStr">
        <is>
          <t>No</t>
        </is>
      </c>
      <c r="R10" s="6" t="inlineStr"/>
    </row>
    <row r="11">
      <c r="A11" s="11" t="inlineStr">
        <is>
          <t>TRIP-008</t>
        </is>
      </c>
      <c r="B11" s="12" t="inlineStr">
        <is>
          <t>04/23/2026</t>
        </is>
      </c>
      <c r="C11" s="11" t="inlineStr">
        <is>
          <t>Ashley Taylor</t>
        </is>
      </c>
      <c r="D11" s="11" t="inlineStr">
        <is>
          <t>Marketing</t>
        </is>
      </c>
      <c r="E11" s="13" t="inlineStr">
        <is>
          <t>Charlotte, NC</t>
        </is>
      </c>
      <c r="F11" s="13" t="inlineStr">
        <is>
          <t>Concord, NC</t>
        </is>
      </c>
      <c r="G11" s="13" t="inlineStr">
        <is>
          <t>Trade show setup</t>
        </is>
      </c>
      <c r="H11" s="7" t="n">
        <v>67230</v>
      </c>
      <c r="I11" s="7" t="n">
        <v>67260</v>
      </c>
      <c r="J11" s="14">
        <f>IF(OR(H11="",I11=""),"",I11-H11)</f>
        <v/>
      </c>
      <c r="K11" s="15">
        <f>IFERROR(VLOOKUP(YEAR(B11),'Lists &amp; Instructions'!$B$25:$C$27,2,FALSE),0.7)</f>
        <v/>
      </c>
      <c r="L11" s="15">
        <f>IF(J11="","",J11*K11)</f>
        <v/>
      </c>
      <c r="M11" s="10" t="n">
        <v>28.5</v>
      </c>
      <c r="N11" s="15">
        <f>IF(L11="","",L11+M11)</f>
        <v/>
      </c>
      <c r="O11" s="11" t="inlineStr">
        <is>
          <t>Vendor Meeting</t>
        </is>
      </c>
      <c r="P11" s="11" t="inlineStr">
        <is>
          <t>Approved</t>
        </is>
      </c>
      <c r="Q11" s="11" t="inlineStr">
        <is>
          <t>Yes</t>
        </is>
      </c>
      <c r="R11" s="13" t="inlineStr"/>
    </row>
    <row r="12">
      <c r="A12" s="4" t="inlineStr">
        <is>
          <t>TRIP-009</t>
        </is>
      </c>
      <c r="B12" s="5" t="inlineStr">
        <is>
          <t>05/14/2026</t>
        </is>
      </c>
      <c r="C12" s="4" t="inlineStr">
        <is>
          <t>Christopher Thomas</t>
        </is>
      </c>
      <c r="D12" s="4" t="inlineStr">
        <is>
          <t>Operations</t>
        </is>
      </c>
      <c r="E12" s="6" t="inlineStr">
        <is>
          <t>Austin, TX</t>
        </is>
      </c>
      <c r="F12" s="6" t="inlineStr">
        <is>
          <t>Round Rock, TX</t>
        </is>
      </c>
      <c r="G12" s="6" t="inlineStr">
        <is>
          <t>Equipment delivery</t>
        </is>
      </c>
      <c r="H12" s="7" t="n">
        <v>15310</v>
      </c>
      <c r="I12" s="7" t="n">
        <v>15318</v>
      </c>
      <c r="J12" s="8">
        <f>IF(OR(H12="",I12=""),"",I12-H12)</f>
        <v/>
      </c>
      <c r="K12" s="9">
        <f>IFERROR(VLOOKUP(YEAR(B12),'Lists &amp; Instructions'!$B$25:$C$27,2,FALSE),0.7)</f>
        <v/>
      </c>
      <c r="L12" s="9">
        <f>IF(J12="","",J12*K12)</f>
        <v/>
      </c>
      <c r="M12" s="10" t="n">
        <v>0</v>
      </c>
      <c r="N12" s="9">
        <f>IF(L12="","",L12+M12)</f>
        <v/>
      </c>
      <c r="O12" s="4" t="inlineStr">
        <is>
          <t>Delivery</t>
        </is>
      </c>
      <c r="P12" s="4" t="inlineStr">
        <is>
          <t>Rejected</t>
        </is>
      </c>
      <c r="Q12" s="4" t="inlineStr">
        <is>
          <t>No</t>
        </is>
      </c>
      <c r="R12" s="6" t="inlineStr"/>
    </row>
    <row r="13">
      <c r="A13" s="11" t="inlineStr">
        <is>
          <t>TRIP-010</t>
        </is>
      </c>
      <c r="B13" s="12" t="inlineStr">
        <is>
          <t>06/26/2026</t>
        </is>
      </c>
      <c r="C13" s="11" t="inlineStr">
        <is>
          <t>Jessica Moore</t>
        </is>
      </c>
      <c r="D13" s="11" t="inlineStr">
        <is>
          <t>Finance</t>
        </is>
      </c>
      <c r="E13" s="13" t="inlineStr">
        <is>
          <t>Denver, CO</t>
        </is>
      </c>
      <c r="F13" s="13" t="inlineStr">
        <is>
          <t>Aurora, CO</t>
        </is>
      </c>
      <c r="G13" s="13" t="inlineStr">
        <is>
          <t>Bank deposit run</t>
        </is>
      </c>
      <c r="H13" s="7" t="n">
        <v>45320</v>
      </c>
      <c r="I13" s="7" t="n">
        <v>45345</v>
      </c>
      <c r="J13" s="14">
        <f>IF(OR(H13="",I13=""),"",I13-H13)</f>
        <v/>
      </c>
      <c r="K13" s="15">
        <f>IFERROR(VLOOKUP(YEAR(B13),'Lists &amp; Instructions'!$B$25:$C$27,2,FALSE),0.7)</f>
        <v/>
      </c>
      <c r="L13" s="15">
        <f>IF(J13="","",J13*K13)</f>
        <v/>
      </c>
      <c r="M13" s="10" t="n">
        <v>3.75</v>
      </c>
      <c r="N13" s="15">
        <f>IF(L13="","",L13+M13)</f>
        <v/>
      </c>
      <c r="O13" s="11" t="inlineStr">
        <is>
          <t>Other</t>
        </is>
      </c>
      <c r="P13" s="11" t="inlineStr">
        <is>
          <t>Pending</t>
        </is>
      </c>
      <c r="Q13" s="11" t="inlineStr">
        <is>
          <t>No</t>
        </is>
      </c>
      <c r="R13" s="13" t="inlineStr"/>
    </row>
  </sheetData>
  <mergeCells count="2">
    <mergeCell ref="A1:R1"/>
    <mergeCell ref="A2:R2"/>
  </mergeCells>
  <conditionalFormatting sqref="J4:J13">
    <cfRule type="expression" priority="1" dxfId="0" stopIfTrue="1">
      <formula>J4&lt;0</formula>
    </cfRule>
  </conditionalFormatting>
  <conditionalFormatting sqref="A4:R13">
    <cfRule type="expression" priority="2" dxfId="0" stopIfTrue="1">
      <formula>AND($M4&gt;0,$Q4="No")</formula>
    </cfRule>
    <cfRule type="expression" priority="3" dxfId="1" stopIfTrue="1">
      <formula>$P4="Approved"</formula>
    </cfRule>
  </conditionalFormatting>
  <dataValidations count="5">
    <dataValidation sqref="C4:C13" showErrorMessage="1" showInputMessage="1" allowBlank="1" type="list">
      <formula1>"Michael Johnson,Jennifer Martinez,James Wilson,Emily Davis,David Brown,Sarah Miller,Robert Anderson,Ashley Taylor,Christopher Thomas,Jessica Moore"</formula1>
    </dataValidation>
    <dataValidation sqref="D4:D13" showErrorMessage="1" showInputMessage="1" allowBlank="1" type="list">
      <formula1>"Sales,Marketing,Operations,Finance,HR"</formula1>
    </dataValidation>
    <dataValidation sqref="O4:O13" showErrorMessage="1" showInputMessage="1" allowBlank="1" type="list">
      <formula1>"Client Meeting,Site Visit,Vendor Meeting,Delivery,Training,Other"</formula1>
    </dataValidation>
    <dataValidation sqref="P4:P13" showErrorMessage="1" showInputMessage="1" allowBlank="1" type="list">
      <formula1>"Approved,Pending,Rejected"</formula1>
    </dataValidation>
    <dataValidation sqref="Q4:Q13" showErrorMessage="1" showInputMessage="1" allowBlank="1" type="list">
      <formula1>"Yes,No"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0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4" customWidth="1" min="8" max="8"/>
    <col width="12" customWidth="1" min="9" max="9"/>
  </cols>
  <sheetData>
    <row r="1" ht="26" customHeight="1">
      <c r="A1" s="16" t="inlineStr">
        <is>
          <t>Mileage Reimbursement - Summary Dashboard</t>
        </is>
      </c>
    </row>
    <row r="2"/>
    <row r="3">
      <c r="A3" s="17" t="inlineStr">
        <is>
          <t>Reporting Year:</t>
        </is>
      </c>
      <c r="B3" s="18" t="n">
        <v>2026</v>
      </c>
      <c r="C3" s="2" t="inlineStr">
        <is>
          <t>(enter year to filter KPI cards below)</t>
        </is>
      </c>
    </row>
    <row r="4"/>
    <row r="5">
      <c r="A5" s="19" t="inlineStr">
        <is>
          <t>Total Trips</t>
        </is>
      </c>
      <c r="B5" s="43" t="n"/>
      <c r="C5" s="19" t="inlineStr">
        <is>
          <t>Total Business Miles</t>
        </is>
      </c>
      <c r="D5" s="43" t="n"/>
      <c r="E5" s="19" t="inlineStr">
        <is>
          <t>Average Miles per Trip</t>
        </is>
      </c>
      <c r="F5" s="43" t="n"/>
      <c r="G5" s="19" t="inlineStr">
        <is>
          <t>Total Mileage Reimbursement</t>
        </is>
      </c>
      <c r="H5" s="43" t="n"/>
    </row>
    <row r="6">
      <c r="A6" s="20">
        <f>COUNTIFS('Mileage Log'!B:B,"&gt;="&amp;DATE($B$3,1,1),'Mileage Log'!B:B,"&lt;="&amp;DATE($B$3,12,31))</f>
        <v/>
      </c>
      <c r="B6" s="37" t="n"/>
      <c r="C6" s="20">
        <f>SUM('Mileage Log'!J:J)</f>
        <v/>
      </c>
      <c r="D6" s="37" t="n"/>
      <c r="E6" s="21">
        <f>IFERROR(AVERAGE('Mileage Log'!J:J),0)</f>
        <v/>
      </c>
      <c r="F6" s="37" t="n"/>
      <c r="G6" s="22">
        <f>SUM('Mileage Log'!L:L)</f>
        <v/>
      </c>
      <c r="H6" s="37" t="n"/>
    </row>
    <row r="7">
      <c r="A7" s="40" t="n"/>
      <c r="B7" s="42" t="n"/>
      <c r="C7" s="40" t="n"/>
      <c r="D7" s="42" t="n"/>
      <c r="E7" s="40" t="n"/>
      <c r="F7" s="42" t="n"/>
      <c r="G7" s="40" t="n"/>
      <c r="H7" s="42" t="n"/>
    </row>
    <row r="8"/>
    <row r="9">
      <c r="A9" s="19" t="inlineStr">
        <is>
          <t>Total Parking/Tolls</t>
        </is>
      </c>
      <c r="B9" s="43" t="n"/>
      <c r="C9" s="19" t="inlineStr">
        <is>
          <t>Total Reimbursement</t>
        </is>
      </c>
      <c r="D9" s="43" t="n"/>
      <c r="E9" s="19" t="inlineStr">
        <is>
          <t>Approved Reimbursement</t>
        </is>
      </c>
      <c r="F9" s="43" t="n"/>
      <c r="G9" s="19" t="inlineStr">
        <is>
          <t>Pending Reimbursement</t>
        </is>
      </c>
      <c r="H9" s="43" t="n"/>
    </row>
    <row r="10">
      <c r="A10" s="22">
        <f>SUM('Mileage Log'!M:M)</f>
        <v/>
      </c>
      <c r="B10" s="37" t="n"/>
      <c r="C10" s="22">
        <f>SUM('Mileage Log'!N:N)</f>
        <v/>
      </c>
      <c r="D10" s="37" t="n"/>
      <c r="E10" s="22">
        <f>SUMIF('Mileage Log'!P:P,"Approved",'Mileage Log'!N:N)</f>
        <v/>
      </c>
      <c r="F10" s="37" t="n"/>
      <c r="G10" s="22">
        <f>SUMIF('Mileage Log'!P:P,"Pending",'Mileage Log'!N:N)</f>
        <v/>
      </c>
      <c r="H10" s="37" t="n"/>
    </row>
    <row r="11">
      <c r="A11" s="40" t="n"/>
      <c r="B11" s="42" t="n"/>
      <c r="C11" s="40" t="n"/>
      <c r="D11" s="42" t="n"/>
      <c r="E11" s="40" t="n"/>
      <c r="F11" s="42" t="n"/>
      <c r="G11" s="40" t="n"/>
      <c r="H11" s="42" t="n"/>
    </row>
    <row r="12"/>
    <row r="13"/>
    <row r="14">
      <c r="A14" s="17" t="inlineStr">
        <is>
          <t>Approval Rate:</t>
        </is>
      </c>
      <c r="B14" s="23">
        <f>IFERROR(COUNTIF('Mileage Log'!P:P,"Approved")/COUNTIF('Mileage Log'!P:P,"&lt;&gt;"),0)</f>
        <v/>
      </c>
    </row>
    <row r="15"/>
    <row r="16"/>
    <row r="17">
      <c r="A17" s="17" t="inlineStr">
        <is>
          <t>Monthly Business Miles &amp; Reimbursement</t>
        </is>
      </c>
      <c r="E17" s="17" t="inlineStr">
        <is>
          <t>Reimbursement by Employee</t>
        </is>
      </c>
      <c r="H17" s="17" t="inlineStr">
        <is>
          <t>Trips by Approval Status</t>
        </is>
      </c>
    </row>
    <row r="18">
      <c r="A18" s="3" t="inlineStr">
        <is>
          <t>Month</t>
        </is>
      </c>
      <c r="B18" s="3" t="inlineStr">
        <is>
          <t>Business Miles</t>
        </is>
      </c>
      <c r="C18" s="3" t="inlineStr">
        <is>
          <t>Total Reimbursement</t>
        </is>
      </c>
      <c r="E18" s="3" t="inlineStr">
        <is>
          <t>Employee Name</t>
        </is>
      </c>
      <c r="F18" s="3" t="inlineStr">
        <is>
          <t>Total Reimbursement</t>
        </is>
      </c>
      <c r="H18" s="24" t="inlineStr">
        <is>
          <t>Status</t>
        </is>
      </c>
      <c r="I18" s="24" t="inlineStr">
        <is>
          <t>Trip Count</t>
        </is>
      </c>
    </row>
    <row r="19">
      <c r="A19" s="4" t="inlineStr">
        <is>
          <t>01/2026</t>
        </is>
      </c>
      <c r="B19" s="25">
        <f>SUMPRODUCT(('Mileage Log'!$B$4:$B$13&lt;&gt;"")*(MONTH('Mileage Log'!$B$4:$B$13)=1)*(YEAR('Mileage Log'!$B$4:$B$13)=$B$3)*'Mileage Log'!$J$4:$J$13)</f>
        <v/>
      </c>
      <c r="C19" s="26">
        <f>SUMPRODUCT(('Mileage Log'!$B$4:$B$13&lt;&gt;"")*(MONTH('Mileage Log'!$B$4:$B$13)=1)*(YEAR('Mileage Log'!$B$4:$B$13)=$B$3)*'Mileage Log'!$N$4:$N$13)</f>
        <v/>
      </c>
      <c r="E19" s="27" t="inlineStr">
        <is>
          <t>Michael Johnson</t>
        </is>
      </c>
      <c r="F19" s="26">
        <f>SUMIF('Mileage Log'!$C$4:$C$13,E19,'Mileage Log'!$N$4:$N$13)</f>
        <v/>
      </c>
      <c r="H19" s="27" t="inlineStr">
        <is>
          <t>Approved</t>
        </is>
      </c>
      <c r="I19" s="25">
        <f>COUNTIF('Mileage Log'!$P$4:$P$13,H19)</f>
        <v/>
      </c>
    </row>
    <row r="20">
      <c r="A20" s="11" t="inlineStr">
        <is>
          <t>02/2026</t>
        </is>
      </c>
      <c r="B20" s="28">
        <f>SUMPRODUCT(('Mileage Log'!$B$4:$B$13&lt;&gt;"")*(MONTH('Mileage Log'!$B$4:$B$13)=2)*(YEAR('Mileage Log'!$B$4:$B$13)=$B$3)*'Mileage Log'!$J$4:$J$13)</f>
        <v/>
      </c>
      <c r="C20" s="29">
        <f>SUMPRODUCT(('Mileage Log'!$B$4:$B$13&lt;&gt;"")*(MONTH('Mileage Log'!$B$4:$B$13)=2)*(YEAR('Mileage Log'!$B$4:$B$13)=$B$3)*'Mileage Log'!$N$4:$N$13)</f>
        <v/>
      </c>
      <c r="E20" s="30" t="inlineStr">
        <is>
          <t>Jennifer Martinez</t>
        </is>
      </c>
      <c r="F20" s="29">
        <f>SUMIF('Mileage Log'!$C$4:$C$13,E20,'Mileage Log'!$N$4:$N$13)</f>
        <v/>
      </c>
      <c r="H20" s="27" t="inlineStr">
        <is>
          <t>Pending</t>
        </is>
      </c>
      <c r="I20" s="25">
        <f>COUNTIF('Mileage Log'!$P$4:$P$13,H20)</f>
        <v/>
      </c>
    </row>
    <row r="21">
      <c r="A21" s="4" t="inlineStr">
        <is>
          <t>03/2026</t>
        </is>
      </c>
      <c r="B21" s="25">
        <f>SUMPRODUCT(('Mileage Log'!$B$4:$B$13&lt;&gt;"")*(MONTH('Mileage Log'!$B$4:$B$13)=3)*(YEAR('Mileage Log'!$B$4:$B$13)=$B$3)*'Mileage Log'!$J$4:$J$13)</f>
        <v/>
      </c>
      <c r="C21" s="26">
        <f>SUMPRODUCT(('Mileage Log'!$B$4:$B$13&lt;&gt;"")*(MONTH('Mileage Log'!$B$4:$B$13)=3)*(YEAR('Mileage Log'!$B$4:$B$13)=$B$3)*'Mileage Log'!$N$4:$N$13)</f>
        <v/>
      </c>
      <c r="E21" s="27" t="inlineStr">
        <is>
          <t>James Wilson</t>
        </is>
      </c>
      <c r="F21" s="26">
        <f>SUMIF('Mileage Log'!$C$4:$C$13,E21,'Mileage Log'!$N$4:$N$13)</f>
        <v/>
      </c>
      <c r="H21" s="27" t="inlineStr">
        <is>
          <t>Rejected</t>
        </is>
      </c>
      <c r="I21" s="25">
        <f>COUNTIF('Mileage Log'!$P$4:$P$13,H21)</f>
        <v/>
      </c>
    </row>
    <row r="22">
      <c r="A22" s="11" t="inlineStr">
        <is>
          <t>04/2026</t>
        </is>
      </c>
      <c r="B22" s="28">
        <f>SUMPRODUCT(('Mileage Log'!$B$4:$B$13&lt;&gt;"")*(MONTH('Mileage Log'!$B$4:$B$13)=4)*(YEAR('Mileage Log'!$B$4:$B$13)=$B$3)*'Mileage Log'!$J$4:$J$13)</f>
        <v/>
      </c>
      <c r="C22" s="29">
        <f>SUMPRODUCT(('Mileage Log'!$B$4:$B$13&lt;&gt;"")*(MONTH('Mileage Log'!$B$4:$B$13)=4)*(YEAR('Mileage Log'!$B$4:$B$13)=$B$3)*'Mileage Log'!$N$4:$N$13)</f>
        <v/>
      </c>
      <c r="E22" s="30" t="inlineStr">
        <is>
          <t>Emily Davis</t>
        </is>
      </c>
      <c r="F22" s="29">
        <f>SUMIF('Mileage Log'!$C$4:$C$13,E22,'Mileage Log'!$N$4:$N$13)</f>
        <v/>
      </c>
    </row>
    <row r="23">
      <c r="A23" s="4" t="inlineStr">
        <is>
          <t>05/2026</t>
        </is>
      </c>
      <c r="B23" s="25">
        <f>SUMPRODUCT(('Mileage Log'!$B$4:$B$13&lt;&gt;"")*(MONTH('Mileage Log'!$B$4:$B$13)=5)*(YEAR('Mileage Log'!$B$4:$B$13)=$B$3)*'Mileage Log'!$J$4:$J$13)</f>
        <v/>
      </c>
      <c r="C23" s="26">
        <f>SUMPRODUCT(('Mileage Log'!$B$4:$B$13&lt;&gt;"")*(MONTH('Mileage Log'!$B$4:$B$13)=5)*(YEAR('Mileage Log'!$B$4:$B$13)=$B$3)*'Mileage Log'!$N$4:$N$13)</f>
        <v/>
      </c>
      <c r="E23" s="27" t="inlineStr">
        <is>
          <t>David Brown</t>
        </is>
      </c>
      <c r="F23" s="26">
        <f>SUMIF('Mileage Log'!$C$4:$C$13,E23,'Mileage Log'!$N$4:$N$13)</f>
        <v/>
      </c>
    </row>
    <row r="24">
      <c r="A24" s="11" t="inlineStr">
        <is>
          <t>06/2026</t>
        </is>
      </c>
      <c r="B24" s="28">
        <f>SUMPRODUCT(('Mileage Log'!$B$4:$B$13&lt;&gt;"")*(MONTH('Mileage Log'!$B$4:$B$13)=6)*(YEAR('Mileage Log'!$B$4:$B$13)=$B$3)*'Mileage Log'!$J$4:$J$13)</f>
        <v/>
      </c>
      <c r="C24" s="29">
        <f>SUMPRODUCT(('Mileage Log'!$B$4:$B$13&lt;&gt;"")*(MONTH('Mileage Log'!$B$4:$B$13)=6)*(YEAR('Mileage Log'!$B$4:$B$13)=$B$3)*'Mileage Log'!$N$4:$N$13)</f>
        <v/>
      </c>
      <c r="E24" s="30" t="inlineStr">
        <is>
          <t>Sarah Miller</t>
        </is>
      </c>
      <c r="F24" s="29">
        <f>SUMIF('Mileage Log'!$C$4:$C$13,E24,'Mileage Log'!$N$4:$N$13)</f>
        <v/>
      </c>
    </row>
    <row r="25">
      <c r="A25" s="4" t="inlineStr">
        <is>
          <t>07/2026</t>
        </is>
      </c>
      <c r="B25" s="25">
        <f>SUMPRODUCT(('Mileage Log'!$B$4:$B$13&lt;&gt;"")*(MONTH('Mileage Log'!$B$4:$B$13)=7)*(YEAR('Mileage Log'!$B$4:$B$13)=$B$3)*'Mileage Log'!$J$4:$J$13)</f>
        <v/>
      </c>
      <c r="C25" s="26">
        <f>SUMPRODUCT(('Mileage Log'!$B$4:$B$13&lt;&gt;"")*(MONTH('Mileage Log'!$B$4:$B$13)=7)*(YEAR('Mileage Log'!$B$4:$B$13)=$B$3)*'Mileage Log'!$N$4:$N$13)</f>
        <v/>
      </c>
      <c r="E25" s="27" t="inlineStr">
        <is>
          <t>Robert Anderson</t>
        </is>
      </c>
      <c r="F25" s="26">
        <f>SUMIF('Mileage Log'!$C$4:$C$13,E25,'Mileage Log'!$N$4:$N$13)</f>
        <v/>
      </c>
    </row>
    <row r="26">
      <c r="A26" s="11" t="inlineStr">
        <is>
          <t>08/2026</t>
        </is>
      </c>
      <c r="B26" s="28">
        <f>SUMPRODUCT(('Mileage Log'!$B$4:$B$13&lt;&gt;"")*(MONTH('Mileage Log'!$B$4:$B$13)=8)*(YEAR('Mileage Log'!$B$4:$B$13)=$B$3)*'Mileage Log'!$J$4:$J$13)</f>
        <v/>
      </c>
      <c r="C26" s="29">
        <f>SUMPRODUCT(('Mileage Log'!$B$4:$B$13&lt;&gt;"")*(MONTH('Mileage Log'!$B$4:$B$13)=8)*(YEAR('Mileage Log'!$B$4:$B$13)=$B$3)*'Mileage Log'!$N$4:$N$13)</f>
        <v/>
      </c>
      <c r="E26" s="30" t="inlineStr">
        <is>
          <t>Ashley Taylor</t>
        </is>
      </c>
      <c r="F26" s="29">
        <f>SUMIF('Mileage Log'!$C$4:$C$13,E26,'Mileage Log'!$N$4:$N$13)</f>
        <v/>
      </c>
    </row>
    <row r="27">
      <c r="A27" s="4" t="inlineStr">
        <is>
          <t>09/2026</t>
        </is>
      </c>
      <c r="B27" s="25">
        <f>SUMPRODUCT(('Mileage Log'!$B$4:$B$13&lt;&gt;"")*(MONTH('Mileage Log'!$B$4:$B$13)=9)*(YEAR('Mileage Log'!$B$4:$B$13)=$B$3)*'Mileage Log'!$J$4:$J$13)</f>
        <v/>
      </c>
      <c r="C27" s="26">
        <f>SUMPRODUCT(('Mileage Log'!$B$4:$B$13&lt;&gt;"")*(MONTH('Mileage Log'!$B$4:$B$13)=9)*(YEAR('Mileage Log'!$B$4:$B$13)=$B$3)*'Mileage Log'!$N$4:$N$13)</f>
        <v/>
      </c>
      <c r="E27" s="27" t="inlineStr">
        <is>
          <t>Christopher Thomas</t>
        </is>
      </c>
      <c r="F27" s="26">
        <f>SUMIF('Mileage Log'!$C$4:$C$13,E27,'Mileage Log'!$N$4:$N$13)</f>
        <v/>
      </c>
    </row>
    <row r="28">
      <c r="A28" s="11" t="inlineStr">
        <is>
          <t>10/2026</t>
        </is>
      </c>
      <c r="B28" s="28">
        <f>SUMPRODUCT(('Mileage Log'!$B$4:$B$13&lt;&gt;"")*(MONTH('Mileage Log'!$B$4:$B$13)=10)*(YEAR('Mileage Log'!$B$4:$B$13)=$B$3)*'Mileage Log'!$J$4:$J$13)</f>
        <v/>
      </c>
      <c r="C28" s="29">
        <f>SUMPRODUCT(('Mileage Log'!$B$4:$B$13&lt;&gt;"")*(MONTH('Mileage Log'!$B$4:$B$13)=10)*(YEAR('Mileage Log'!$B$4:$B$13)=$B$3)*'Mileage Log'!$N$4:$N$13)</f>
        <v/>
      </c>
      <c r="E28" s="30" t="inlineStr">
        <is>
          <t>Jessica Moore</t>
        </is>
      </c>
      <c r="F28" s="29">
        <f>SUMIF('Mileage Log'!$C$4:$C$13,E28,'Mileage Log'!$N$4:$N$13)</f>
        <v/>
      </c>
    </row>
    <row r="29">
      <c r="A29" s="4" t="inlineStr">
        <is>
          <t>11/2026</t>
        </is>
      </c>
      <c r="B29" s="25">
        <f>SUMPRODUCT(('Mileage Log'!$B$4:$B$13&lt;&gt;"")*(MONTH('Mileage Log'!$B$4:$B$13)=11)*(YEAR('Mileage Log'!$B$4:$B$13)=$B$3)*'Mileage Log'!$J$4:$J$13)</f>
        <v/>
      </c>
      <c r="C29" s="26">
        <f>SUMPRODUCT(('Mileage Log'!$B$4:$B$13&lt;&gt;"")*(MONTH('Mileage Log'!$B$4:$B$13)=11)*(YEAR('Mileage Log'!$B$4:$B$13)=$B$3)*'Mileage Log'!$N$4:$N$13)</f>
        <v/>
      </c>
    </row>
    <row r="30">
      <c r="A30" s="11" t="inlineStr">
        <is>
          <t>12/2026</t>
        </is>
      </c>
      <c r="B30" s="28">
        <f>SUMPRODUCT(('Mileage Log'!$B$4:$B$13&lt;&gt;"")*(MONTH('Mileage Log'!$B$4:$B$13)=12)*(YEAR('Mileage Log'!$B$4:$B$13)=$B$3)*'Mileage Log'!$J$4:$J$13)</f>
        <v/>
      </c>
      <c r="C30" s="29">
        <f>SUMPRODUCT(('Mileage Log'!$B$4:$B$13&lt;&gt;"")*(MONTH('Mileage Log'!$B$4:$B$13)=12)*(YEAR('Mileage Log'!$B$4:$B$13)=$B$3)*'Mileage Log'!$N$4:$N$13)</f>
        <v/>
      </c>
    </row>
  </sheetData>
  <mergeCells count="17">
    <mergeCell ref="A1:H1"/>
    <mergeCell ref="A5:B5"/>
    <mergeCell ref="A6:B7"/>
    <mergeCell ref="C5:D5"/>
    <mergeCell ref="C6:D7"/>
    <mergeCell ref="E5:F5"/>
    <mergeCell ref="E6:F7"/>
    <mergeCell ref="G5:H5"/>
    <mergeCell ref="G6:H7"/>
    <mergeCell ref="A9:B9"/>
    <mergeCell ref="A10:B11"/>
    <mergeCell ref="C9:D9"/>
    <mergeCell ref="C10:D11"/>
    <mergeCell ref="E9:F9"/>
    <mergeCell ref="E10:F11"/>
    <mergeCell ref="G9:H9"/>
    <mergeCell ref="G10:H1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20" customWidth="1" min="3" max="3"/>
    <col width="16" customWidth="1" min="4" max="4"/>
    <col width="20" customWidth="1" min="5" max="5"/>
    <col width="20" customWidth="1" min="6" max="6"/>
  </cols>
  <sheetData>
    <row r="1" ht="24" customHeight="1">
      <c r="A1" s="16" t="inlineStr">
        <is>
          <t>Instructions &amp; Reference Lists</t>
        </is>
      </c>
    </row>
    <row r="2"/>
    <row r="3">
      <c r="A3" s="31" t="inlineStr">
        <is>
          <t>1. Log every business trip on the 'Mileage Log' sheet as soon as possible after travel.</t>
        </is>
      </c>
    </row>
    <row r="4">
      <c r="A4" s="31" t="inlineStr">
        <is>
          <t>2. Enter Odometer Start and Odometer End readings; Business Miles calculates automatically.</t>
        </is>
      </c>
    </row>
    <row r="5">
      <c r="A5" s="31" t="inlineStr">
        <is>
          <t>3. The Mileage Rate column looks up the annual rate from the table below based on the Trip Date year.</t>
        </is>
      </c>
    </row>
    <row r="6">
      <c r="A6" s="31" t="inlineStr">
        <is>
          <t>4. Reimbursement Amount and Total Reimbursement (including Parking/Tolls) calculate automatically.</t>
        </is>
      </c>
    </row>
    <row r="7">
      <c r="A7" s="31" t="inlineStr">
        <is>
          <t>5. Enter Parking/Tolls separately; these amounts must be supported by receipts.</t>
        </is>
      </c>
    </row>
    <row r="8">
      <c r="A8" s="31" t="inlineStr">
        <is>
          <t>6. Retain all receipts and business-purpose documentation for at least the period required by your employer or the IRS.</t>
        </is>
      </c>
    </row>
    <row r="9">
      <c r="A9" s="31" t="inlineStr">
        <is>
          <t>7. Reimbursement policies may differ by employer; confirm your organization's specific policy before submitting.</t>
        </is>
      </c>
    </row>
    <row r="10">
      <c r="A10" s="31" t="inlineStr">
        <is>
          <t>8. Always verify the current-year IRS standard mileage rate before relying on the placeholder rate below.</t>
        </is>
      </c>
    </row>
    <row r="11">
      <c r="A11" s="31" t="inlineStr">
        <is>
          <t>9. Use the Summary Dashboard sheet to review KPIs, monthly trends, and reimbursement by employee.</t>
        </is>
      </c>
    </row>
    <row r="12">
      <c r="A12" s="31" t="inlineStr">
        <is>
          <t>10. Approval Status and Receipt Included fields drive conditional formatting alerts on the Mileage Log sheet.</t>
        </is>
      </c>
    </row>
    <row r="13"/>
    <row r="14">
      <c r="A14" s="32" t="inlineStr">
        <is>
          <t>Employee List</t>
        </is>
      </c>
      <c r="C14" s="32" t="inlineStr">
        <is>
          <t>Department List</t>
        </is>
      </c>
      <c r="E14" s="32" t="inlineStr">
        <is>
          <t>Expense Category List</t>
        </is>
      </c>
    </row>
    <row r="15">
      <c r="A15" s="27" t="inlineStr">
        <is>
          <t>Michael Johnson</t>
        </is>
      </c>
      <c r="C15" s="27" t="inlineStr">
        <is>
          <t>Sales</t>
        </is>
      </c>
      <c r="E15" s="27" t="inlineStr">
        <is>
          <t>Client Meeting</t>
        </is>
      </c>
    </row>
    <row r="16">
      <c r="A16" s="27" t="inlineStr">
        <is>
          <t>Jennifer Martinez</t>
        </is>
      </c>
      <c r="C16" s="27" t="inlineStr">
        <is>
          <t>Marketing</t>
        </is>
      </c>
      <c r="E16" s="27" t="inlineStr">
        <is>
          <t>Site Visit</t>
        </is>
      </c>
    </row>
    <row r="17">
      <c r="A17" s="27" t="inlineStr">
        <is>
          <t>James Wilson</t>
        </is>
      </c>
      <c r="C17" s="27" t="inlineStr">
        <is>
          <t>Operations</t>
        </is>
      </c>
      <c r="E17" s="27" t="inlineStr">
        <is>
          <t>Vendor Meeting</t>
        </is>
      </c>
    </row>
    <row r="18">
      <c r="A18" s="27" t="inlineStr">
        <is>
          <t>Emily Davis</t>
        </is>
      </c>
      <c r="C18" s="27" t="inlineStr">
        <is>
          <t>Finance</t>
        </is>
      </c>
      <c r="E18" s="27" t="inlineStr">
        <is>
          <t>Delivery</t>
        </is>
      </c>
    </row>
    <row r="19">
      <c r="A19" s="27" t="inlineStr">
        <is>
          <t>David Brown</t>
        </is>
      </c>
      <c r="C19" s="27" t="inlineStr">
        <is>
          <t>HR</t>
        </is>
      </c>
      <c r="E19" s="27" t="inlineStr">
        <is>
          <t>Training</t>
        </is>
      </c>
    </row>
    <row r="20">
      <c r="A20" s="27" t="inlineStr">
        <is>
          <t>Sarah Miller</t>
        </is>
      </c>
      <c r="E20" s="27" t="inlineStr">
        <is>
          <t>Other</t>
        </is>
      </c>
    </row>
    <row r="21">
      <c r="A21" s="27" t="inlineStr">
        <is>
          <t>Robert Anderson</t>
        </is>
      </c>
    </row>
    <row r="22">
      <c r="A22" s="27" t="inlineStr">
        <is>
          <t>Ashley Taylor</t>
        </is>
      </c>
    </row>
    <row r="23">
      <c r="A23" s="27" t="inlineStr">
        <is>
          <t>Christopher Thomas</t>
        </is>
      </c>
      <c r="B23" s="17" t="inlineStr">
        <is>
          <t>Configurable Annual Mileage Rate Table</t>
        </is>
      </c>
    </row>
    <row r="24">
      <c r="A24" s="27" t="inlineStr">
        <is>
          <t>Jessica Moore</t>
        </is>
      </c>
      <c r="B24" s="33" t="inlineStr">
        <is>
          <t>Year</t>
        </is>
      </c>
      <c r="C24" s="33" t="inlineStr">
        <is>
          <t>Mileage Rate ($/mile)</t>
        </is>
      </c>
    </row>
    <row r="25">
      <c r="B25" s="4" t="n">
        <v>2024</v>
      </c>
      <c r="C25" s="10" t="n">
        <v>0.67</v>
      </c>
    </row>
    <row r="26">
      <c r="A26" s="44" t="inlineStr">
        <is>
          <t>Approval Status List</t>
        </is>
      </c>
      <c r="B26" s="42" t="n"/>
      <c r="C26" s="34" t="n">
        <v>0.67</v>
      </c>
      <c r="D26" s="43" t="n"/>
    </row>
    <row r="27">
      <c r="A27" s="27" t="inlineStr">
        <is>
          <t>Approved</t>
        </is>
      </c>
      <c r="B27" s="4" t="n">
        <v>2026</v>
      </c>
      <c r="C27" s="10" t="n">
        <v>0.7</v>
      </c>
    </row>
    <row r="28">
      <c r="A28" s="27" t="inlineStr">
        <is>
          <t>Pending</t>
        </is>
      </c>
      <c r="C28" s="27" t="inlineStr">
        <is>
          <t>No</t>
        </is>
      </c>
    </row>
    <row r="29">
      <c r="A29" s="35" t="inlineStr">
        <is>
          <t>Note: The 2026 rate ($0.70/mile) is a configurable placeholder. Update this table each year after confirming the current IRS standard mileage rate. Parking and tolls should be entered separately in the Mileage Log and supported by receipts; they are not part of the per-mile rate.</t>
        </is>
      </c>
      <c r="B29" s="36" t="n"/>
      <c r="C29" s="36" t="n"/>
      <c r="D29" s="36" t="n"/>
      <c r="E29" s="36" t="n"/>
      <c r="F29" s="37" t="n"/>
    </row>
    <row r="30">
      <c r="A30" s="38" t="n"/>
      <c r="F30" s="39" t="n"/>
    </row>
    <row r="31">
      <c r="A31" s="40" t="n"/>
      <c r="B31" s="41" t="n"/>
      <c r="C31" s="41" t="n"/>
      <c r="D31" s="41" t="n"/>
      <c r="E31" s="41" t="n"/>
      <c r="F31" s="42" t="n"/>
    </row>
  </sheetData>
  <mergeCells count="18">
    <mergeCell ref="A1:D1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4:B14"/>
    <mergeCell ref="C14:D14"/>
    <mergeCell ref="E14:F14"/>
    <mergeCell ref="A26:B26"/>
    <mergeCell ref="C26:D26"/>
    <mergeCell ref="B23:C23"/>
    <mergeCell ref="A29: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2026-07-21T17:59:22Z</dcterms:created>
  <dcterms:modified xmlns:dcterms="http://purl.org/dc/terms/" xmlns:xsi="http://www.w3.org/2001/XMLSchema-instance" xsi:type="dcterms:W3CDTF">2026-07-21T17:59:22Z</dcterms:modified>
</cp:coreProperties>
</file>