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check Tracker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'Paycheck Tracker'!$A$2:$T$12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&quot;$&quot;#,##0.00"/>
    <numFmt numFmtId="166" formatCode="0.0%"/>
  </numFmts>
  <fonts count="3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FFFFFF"/>
        <bgColor rgb="00FFFFFF"/>
      </patternFill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D80621"/>
        <bgColor rgb="00D8062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0" fillId="5" borderId="1" pivotButton="0" quotePrefix="0" xfId="0"/>
    <xf numFmtId="0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165" fontId="0" fillId="4" borderId="1" pivotButton="0" quotePrefix="0" xfId="0"/>
    <xf numFmtId="164" fontId="0" fillId="2" borderId="1" pivotButton="0" quotePrefix="0" xfId="0"/>
    <xf numFmtId="0" fontId="0" fillId="2" borderId="1" pivotButton="0" quotePrefix="0" xfId="0"/>
    <xf numFmtId="165" fontId="0" fillId="2" borderId="1" pivotButton="0" quotePrefix="0" xfId="0"/>
    <xf numFmtId="166" fontId="0" fillId="2" borderId="1" pivotButton="0" quotePrefix="0" xfId="0"/>
    <xf numFmtId="0" fontId="1" fillId="0" borderId="0" applyAlignment="1" pivotButton="0" quotePrefix="0" xfId="0">
      <alignment horizontal="center" vertical="center"/>
    </xf>
    <xf numFmtId="0" fontId="2" fillId="3" borderId="1" pivotButton="0" quotePrefix="0" xfId="0"/>
    <xf numFmtId="1" fontId="0" fillId="5" borderId="1" pivotButton="0" quotePrefix="0" xfId="0"/>
    <xf numFmtId="1" fontId="0" fillId="2" borderId="1" pivotButton="0" quotePrefix="0" xfId="0"/>
    <xf numFmtId="0" fontId="2" fillId="6" borderId="0" applyAlignment="1" pivotButton="0" quotePrefix="0" xfId="0">
      <alignment horizontal="center" vertical="center"/>
    </xf>
    <xf numFmtId="0" fontId="2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YTD 401(k) Contributions by Paycheck Date</a:t>
            </a:r>
          </a:p>
        </rich>
      </tx>
    </title>
    <plotArea>
      <lineChart>
        <grouping val="standard"/>
        <ser>
          <idx val="0"/>
          <order val="0"/>
          <tx>
            <strRef>
              <f>'Paycheck Tracker'!R2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'Paycheck Tracker'!$A$3:$A$12</f>
            </numRef>
          </cat>
          <val>
            <numRef>
              <f>'Paycheck Tracker'!$R$3:$R$12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Pay 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YTD Contributions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Pay vs 401(k) Deductions by Paycheck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'Paycheck Tracker'!F2</f>
            </strRef>
          </tx>
          <spPr>
            <a:ln xmlns:a="http://schemas.openxmlformats.org/drawingml/2006/main">
              <a:prstDash val="solid"/>
            </a:ln>
          </spPr>
          <cat>
            <numRef>
              <f>'Paycheck Tracker'!$A$3:$A$12</f>
            </numRef>
          </cat>
          <val>
            <numRef>
              <f>'Paycheck Tracker'!$F$3:$F$12</f>
            </numRef>
          </val>
        </ser>
        <ser>
          <idx val="1"/>
          <order val="1"/>
          <tx>
            <strRef>
              <f>'Paycheck Tracker'!H2</f>
            </strRef>
          </tx>
          <spPr>
            <a:ln xmlns:a="http://schemas.openxmlformats.org/drawingml/2006/main">
              <a:prstDash val="solid"/>
            </a:ln>
          </spPr>
          <cat>
            <numRef>
              <f>'Paycheck Tracker'!$A$3:$A$12</f>
            </numRef>
          </cat>
          <val>
            <numRef>
              <f>'Paycheck Tracker'!$H$3:$H$12</f>
            </numRef>
          </val>
        </ser>
        <ser>
          <idx val="2"/>
          <order val="2"/>
          <tx>
            <strRef>
              <f>'Paycheck Tracker'!J2</f>
            </strRef>
          </tx>
          <spPr>
            <a:ln xmlns:a="http://schemas.openxmlformats.org/drawingml/2006/main">
              <a:prstDash val="solid"/>
            </a:ln>
          </spPr>
          <cat>
            <numRef>
              <f>'Paycheck Tracker'!$A$3:$A$12</f>
            </numRef>
          </cat>
          <val>
            <numRef>
              <f>'Paycheck Tracker'!$J$3:$J$12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Pay 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Retirement Funding Share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Dashboard'!B18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Dashboard'!$A$19:$A$21</f>
            </numRef>
          </cat>
          <val>
            <numRef>
              <f>'Summary Dashboard'!$B$19:$B$21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37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5" customWidth="1" min="3" max="3"/>
    <col width="26" customWidth="1" min="4" max="4"/>
    <col width="22" customWidth="1" min="5" max="5"/>
    <col width="12" customWidth="1" min="6" max="6"/>
    <col width="14" customWidth="1" min="7" max="7"/>
    <col width="14" customWidth="1" min="8" max="8"/>
    <col width="12" customWidth="1" min="9" max="9"/>
    <col width="12" customWidth="1" min="10" max="10"/>
    <col width="14" customWidth="1" min="11" max="11"/>
    <col width="13" customWidth="1" min="12" max="12"/>
    <col width="14" customWidth="1" min="13" max="13"/>
    <col width="15" customWidth="1" min="14" max="14"/>
    <col width="13" customWidth="1" min="15" max="15"/>
    <col width="13" customWidth="1" min="16" max="16"/>
    <col width="12" customWidth="1" min="17" max="17"/>
    <col width="16" customWidth="1" min="18" max="18"/>
    <col width="15" customWidth="1" min="19" max="19"/>
    <col width="17" customWidth="1" min="20" max="20"/>
  </cols>
  <sheetData>
    <row r="1">
      <c r="A1" s="1" t="inlineStr">
        <is>
          <t>401(k) Contribution Paycheck Tracker - 2026</t>
        </is>
      </c>
    </row>
    <row r="2">
      <c r="A2" s="2" t="inlineStr">
        <is>
          <t>Pay Date</t>
        </is>
      </c>
      <c r="B2" s="2" t="inlineStr">
        <is>
          <t>Pay Period Start</t>
        </is>
      </c>
      <c r="C2" s="2" t="inlineStr">
        <is>
          <t>Pay Period End</t>
        </is>
      </c>
      <c r="D2" s="2" t="inlineStr">
        <is>
          <t>Employee Name</t>
        </is>
      </c>
      <c r="E2" s="2" t="inlineStr">
        <is>
          <t>Employer</t>
        </is>
      </c>
      <c r="F2" s="2" t="inlineStr">
        <is>
          <t>Gross Pay</t>
        </is>
      </c>
      <c r="G2" s="2" t="inlineStr">
        <is>
          <t>Pre-Tax 401(k) Deferral %</t>
        </is>
      </c>
      <c r="H2" s="2" t="inlineStr">
        <is>
          <t>Pre-Tax 401(k) Deferral $</t>
        </is>
      </c>
      <c r="I2" s="2" t="inlineStr">
        <is>
          <t>Roth 401(k) Deferral %</t>
        </is>
      </c>
      <c r="J2" s="2" t="inlineStr">
        <is>
          <t>Roth 401(k) Deferral $</t>
        </is>
      </c>
      <c r="K2" s="2" t="inlineStr">
        <is>
          <t>Employer Match Cap %</t>
        </is>
      </c>
      <c r="L2" s="2" t="inlineStr">
        <is>
          <t>Employer Match $</t>
        </is>
      </c>
      <c r="M2" s="2" t="inlineStr">
        <is>
          <t>FICA Tax Estimate</t>
        </is>
      </c>
      <c r="N2" s="2" t="inlineStr">
        <is>
          <t>Federal Tax Estimate</t>
        </is>
      </c>
      <c r="O2" s="2" t="inlineStr">
        <is>
          <t>State Tax Estimate</t>
        </is>
      </c>
      <c r="P2" s="2" t="inlineStr">
        <is>
          <t>Other Deductions</t>
        </is>
      </c>
      <c r="Q2" s="2" t="inlineStr">
        <is>
          <t>Net Pay</t>
        </is>
      </c>
      <c r="R2" s="2" t="inlineStr">
        <is>
          <t>YTD 401(k) Contributions</t>
        </is>
      </c>
      <c r="S2" s="2" t="inlineStr">
        <is>
          <t>YTD Employer Match</t>
        </is>
      </c>
      <c r="T2" s="2" t="inlineStr">
        <is>
          <t>Contribution Limit Check</t>
        </is>
      </c>
    </row>
    <row r="3">
      <c r="A3" s="3" t="inlineStr">
        <is>
          <t>01/02/2026</t>
        </is>
      </c>
      <c r="B3" s="3" t="inlineStr">
        <is>
          <t>12/19/2025</t>
        </is>
      </c>
      <c r="C3" s="3" t="inlineStr">
        <is>
          <t>01/01/2026</t>
        </is>
      </c>
      <c r="D3" s="4" t="inlineStr">
        <is>
          <t>Michael Johnson - Austin, TX</t>
        </is>
      </c>
      <c r="E3" s="4" t="inlineStr">
        <is>
          <t>Summit Builders LLC</t>
        </is>
      </c>
      <c r="F3" s="5" t="n">
        <v>2400</v>
      </c>
      <c r="G3" s="6" t="n">
        <v>0.06</v>
      </c>
      <c r="H3" s="5">
        <f>F3*G3</f>
        <v/>
      </c>
      <c r="I3" s="6" t="n">
        <v>0.02</v>
      </c>
      <c r="J3" s="5">
        <f>F3*I3</f>
        <v/>
      </c>
      <c r="K3" s="6">
        <f>IFERROR(VLOOKUP(E3,Instructions!$A$2:$D$10,3,FALSE),0.04)</f>
        <v/>
      </c>
      <c r="L3" s="5">
        <f>MIN(F3*(G3+I3),F3*K3)</f>
        <v/>
      </c>
      <c r="M3" s="5">
        <f>(F3-H3-J3)*0.0765</f>
        <v/>
      </c>
      <c r="N3" s="5">
        <f>(F3-H3-J3)*0.12</f>
        <v/>
      </c>
      <c r="O3" s="5">
        <f>(F3-H3-J3)*0.04</f>
        <v/>
      </c>
      <c r="P3" s="7" t="n">
        <v>30</v>
      </c>
      <c r="Q3" s="5">
        <f>F3-H3-J3-M3-N3-O3-P3+L3</f>
        <v/>
      </c>
      <c r="R3" s="5">
        <f>SUM($H$3:H3)+SUM($J$3:J3)</f>
        <v/>
      </c>
      <c r="S3" s="5">
        <f>SUM($L$3:L3)</f>
        <v/>
      </c>
      <c r="T3" s="4">
        <f>IF(R3&gt;23000,"Over annual limit","Within limit")</f>
        <v/>
      </c>
    </row>
    <row r="4">
      <c r="A4" s="8" t="inlineStr">
        <is>
          <t>01/16/2026</t>
        </is>
      </c>
      <c r="B4" s="8" t="inlineStr">
        <is>
          <t>01/02/2026</t>
        </is>
      </c>
      <c r="C4" s="8" t="inlineStr">
        <is>
          <t>01/15/2026</t>
        </is>
      </c>
      <c r="D4" s="9" t="inlineStr">
        <is>
          <t>Jennifer Smith - Denver, CO</t>
        </is>
      </c>
      <c r="E4" s="9" t="inlineStr">
        <is>
          <t>Riverside Supply Inc.</t>
        </is>
      </c>
      <c r="F4" s="10" t="n">
        <v>3200</v>
      </c>
      <c r="G4" s="11" t="n">
        <v>0.08</v>
      </c>
      <c r="H4" s="10">
        <f>F4*G4</f>
        <v/>
      </c>
      <c r="I4" s="11" t="n">
        <v>0</v>
      </c>
      <c r="J4" s="10">
        <f>F4*I4</f>
        <v/>
      </c>
      <c r="K4" s="11">
        <f>IFERROR(VLOOKUP(E4,Instructions!$A$2:$D$10,3,FALSE),0.04)</f>
        <v/>
      </c>
      <c r="L4" s="10">
        <f>MIN(F4*(G4+I4),F4*K4)</f>
        <v/>
      </c>
      <c r="M4" s="10">
        <f>(F4-H4-J4)*0.0765</f>
        <v/>
      </c>
      <c r="N4" s="10">
        <f>(F4-H4-J4)*0.12</f>
        <v/>
      </c>
      <c r="O4" s="10">
        <f>(F4-H4-J4)*0.04</f>
        <v/>
      </c>
      <c r="P4" s="7" t="n">
        <v>45</v>
      </c>
      <c r="Q4" s="10">
        <f>F4-H4-J4-M4-N4-O4-P4+L4</f>
        <v/>
      </c>
      <c r="R4" s="10">
        <f>SUM($H$3:H4)+SUM($J$3:J4)</f>
        <v/>
      </c>
      <c r="S4" s="10">
        <f>SUM($L$3:L4)</f>
        <v/>
      </c>
      <c r="T4" s="9">
        <f>IF(R4&gt;23000,"Over annual limit","Within limit")</f>
        <v/>
      </c>
    </row>
    <row r="5">
      <c r="A5" s="3" t="inlineStr">
        <is>
          <t>01/30/2026</t>
        </is>
      </c>
      <c r="B5" s="3" t="inlineStr">
        <is>
          <t>01/16/2026</t>
        </is>
      </c>
      <c r="C5" s="3" t="inlineStr">
        <is>
          <t>01/29/2026</t>
        </is>
      </c>
      <c r="D5" s="4" t="inlineStr">
        <is>
          <t>James Williams - Columbus, OH</t>
        </is>
      </c>
      <c r="E5" s="4" t="inlineStr">
        <is>
          <t>Oakwood Consulting LLC</t>
        </is>
      </c>
      <c r="F5" s="5" t="n">
        <v>1850</v>
      </c>
      <c r="G5" s="6" t="n">
        <v>0.03</v>
      </c>
      <c r="H5" s="5">
        <f>F5*G5</f>
        <v/>
      </c>
      <c r="I5" s="6" t="n">
        <v>0.03</v>
      </c>
      <c r="J5" s="5">
        <f>F5*I5</f>
        <v/>
      </c>
      <c r="K5" s="6">
        <f>IFERROR(VLOOKUP(E5,Instructions!$A$2:$D$10,3,FALSE),0.04)</f>
        <v/>
      </c>
      <c r="L5" s="5">
        <f>MIN(F5*(G5+I5),F5*K5)</f>
        <v/>
      </c>
      <c r="M5" s="5">
        <f>(F5-H5-J5)*0.0765</f>
        <v/>
      </c>
      <c r="N5" s="5">
        <f>(F5-H5-J5)*0.12</f>
        <v/>
      </c>
      <c r="O5" s="5">
        <f>(F5-H5-J5)*0.04</f>
        <v/>
      </c>
      <c r="P5" s="7" t="n">
        <v>25</v>
      </c>
      <c r="Q5" s="5">
        <f>F5-H5-J5-M5-N5-O5-P5+L5</f>
        <v/>
      </c>
      <c r="R5" s="5">
        <f>SUM($H$3:H5)+SUM($J$3:J5)</f>
        <v/>
      </c>
      <c r="S5" s="5">
        <f>SUM($L$3:L5)</f>
        <v/>
      </c>
      <c r="T5" s="4">
        <f>IF(R5&gt;23000,"Over annual limit","Within limit")</f>
        <v/>
      </c>
    </row>
    <row r="6">
      <c r="A6" s="8" t="inlineStr">
        <is>
          <t>02/13/2026</t>
        </is>
      </c>
      <c r="B6" s="8" t="inlineStr">
        <is>
          <t>01/30/2026</t>
        </is>
      </c>
      <c r="C6" s="8" t="inlineStr">
        <is>
          <t>02/12/2026</t>
        </is>
      </c>
      <c r="D6" s="9" t="inlineStr">
        <is>
          <t>Emily Davis - Phoenix, AZ</t>
        </is>
      </c>
      <c r="E6" s="9" t="inlineStr">
        <is>
          <t>Lakeside Manufacturing Co.</t>
        </is>
      </c>
      <c r="F6" s="10" t="n">
        <v>2950</v>
      </c>
      <c r="G6" s="11" t="n">
        <v>0.05</v>
      </c>
      <c r="H6" s="10">
        <f>F6*G6</f>
        <v/>
      </c>
      <c r="I6" s="11" t="n">
        <v>0.05</v>
      </c>
      <c r="J6" s="10">
        <f>F6*I6</f>
        <v/>
      </c>
      <c r="K6" s="11">
        <f>IFERROR(VLOOKUP(E6,Instructions!$A$2:$D$10,3,FALSE),0.04)</f>
        <v/>
      </c>
      <c r="L6" s="10">
        <f>MIN(F6*(G6+I6),F6*K6)</f>
        <v/>
      </c>
      <c r="M6" s="10">
        <f>(F6-H6-J6)*0.0765</f>
        <v/>
      </c>
      <c r="N6" s="10">
        <f>(F6-H6-J6)*0.12</f>
        <v/>
      </c>
      <c r="O6" s="10">
        <f>(F6-H6-J6)*0.04</f>
        <v/>
      </c>
      <c r="P6" s="7" t="n">
        <v>50</v>
      </c>
      <c r="Q6" s="10">
        <f>F6-H6-J6-M6-N6-O6-P6+L6</f>
        <v/>
      </c>
      <c r="R6" s="10">
        <f>SUM($H$3:H6)+SUM($J$3:J6)</f>
        <v/>
      </c>
      <c r="S6" s="10">
        <f>SUM($L$3:L6)</f>
        <v/>
      </c>
      <c r="T6" s="9">
        <f>IF(R6&gt;23000,"Over annual limit","Within limit")</f>
        <v/>
      </c>
    </row>
    <row r="7">
      <c r="A7" s="3" t="inlineStr">
        <is>
          <t>02/27/2026</t>
        </is>
      </c>
      <c r="B7" s="3" t="inlineStr">
        <is>
          <t>02/13/2026</t>
        </is>
      </c>
      <c r="C7" s="3" t="inlineStr">
        <is>
          <t>02/26/2026</t>
        </is>
      </c>
      <c r="D7" s="4" t="inlineStr">
        <is>
          <t>David Brown - Atlanta, GA</t>
        </is>
      </c>
      <c r="E7" s="4" t="inlineStr">
        <is>
          <t>Cedar Grove Retail Inc.</t>
        </is>
      </c>
      <c r="F7" s="5" t="n">
        <v>3600</v>
      </c>
      <c r="G7" s="6" t="n">
        <v>0.1</v>
      </c>
      <c r="H7" s="5">
        <f>F7*G7</f>
        <v/>
      </c>
      <c r="I7" s="6" t="n">
        <v>0</v>
      </c>
      <c r="J7" s="5">
        <f>F7*I7</f>
        <v/>
      </c>
      <c r="K7" s="6">
        <f>IFERROR(VLOOKUP(E7,Instructions!$A$2:$D$10,3,FALSE),0.04)</f>
        <v/>
      </c>
      <c r="L7" s="5">
        <f>MIN(F7*(G7+I7),F7*K7)</f>
        <v/>
      </c>
      <c r="M7" s="5">
        <f>(F7-H7-J7)*0.0765</f>
        <v/>
      </c>
      <c r="N7" s="5">
        <f>(F7-H7-J7)*0.12</f>
        <v/>
      </c>
      <c r="O7" s="5">
        <f>(F7-H7-J7)*0.04</f>
        <v/>
      </c>
      <c r="P7" s="7" t="n">
        <v>60</v>
      </c>
      <c r="Q7" s="5">
        <f>F7-H7-J7-M7-N7-O7-P7+L7</f>
        <v/>
      </c>
      <c r="R7" s="5">
        <f>SUM($H$3:H7)+SUM($J$3:J7)</f>
        <v/>
      </c>
      <c r="S7" s="5">
        <f>SUM($L$3:L7)</f>
        <v/>
      </c>
      <c r="T7" s="4">
        <f>IF(R7&gt;23000,"Over annual limit","Within limit")</f>
        <v/>
      </c>
    </row>
    <row r="8">
      <c r="A8" s="8" t="inlineStr">
        <is>
          <t>03/13/2026</t>
        </is>
      </c>
      <c r="B8" s="8" t="inlineStr">
        <is>
          <t>02/27/2026</t>
        </is>
      </c>
      <c r="C8" s="8" t="inlineStr">
        <is>
          <t>03/12/2026</t>
        </is>
      </c>
      <c r="D8" s="9" t="inlineStr">
        <is>
          <t>Sarah Miller - Seattle, WA</t>
        </is>
      </c>
      <c r="E8" s="9" t="inlineStr">
        <is>
          <t>Summit Builders LLC</t>
        </is>
      </c>
      <c r="F8" s="10" t="n">
        <v>2100</v>
      </c>
      <c r="G8" s="11" t="n">
        <v>0.04</v>
      </c>
      <c r="H8" s="10">
        <f>F8*G8</f>
        <v/>
      </c>
      <c r="I8" s="11" t="n">
        <v>0.04</v>
      </c>
      <c r="J8" s="10">
        <f>F8*I8</f>
        <v/>
      </c>
      <c r="K8" s="11">
        <f>IFERROR(VLOOKUP(E8,Instructions!$A$2:$D$10,3,FALSE),0.04)</f>
        <v/>
      </c>
      <c r="L8" s="10">
        <f>MIN(F8*(G8+I8),F8*K8)</f>
        <v/>
      </c>
      <c r="M8" s="10">
        <f>(F8-H8-J8)*0.0765</f>
        <v/>
      </c>
      <c r="N8" s="10">
        <f>(F8-H8-J8)*0.12</f>
        <v/>
      </c>
      <c r="O8" s="10">
        <f>(F8-H8-J8)*0.04</f>
        <v/>
      </c>
      <c r="P8" s="7" t="n">
        <v>20</v>
      </c>
      <c r="Q8" s="10">
        <f>F8-H8-J8-M8-N8-O8-P8+L8</f>
        <v/>
      </c>
      <c r="R8" s="10">
        <f>SUM($H$3:H8)+SUM($J$3:J8)</f>
        <v/>
      </c>
      <c r="S8" s="10">
        <f>SUM($L$3:L8)</f>
        <v/>
      </c>
      <c r="T8" s="9">
        <f>IF(R8&gt;23000,"Over annual limit","Within limit")</f>
        <v/>
      </c>
    </row>
    <row r="9">
      <c r="A9" s="3" t="inlineStr">
        <is>
          <t>03/27/2026</t>
        </is>
      </c>
      <c r="B9" s="3" t="inlineStr">
        <is>
          <t>03/13/2026</t>
        </is>
      </c>
      <c r="C9" s="3" t="inlineStr">
        <is>
          <t>03/26/2026</t>
        </is>
      </c>
      <c r="D9" s="4" t="inlineStr">
        <is>
          <t>Robert Wilson - Nashville, TN</t>
        </is>
      </c>
      <c r="E9" s="4" t="inlineStr">
        <is>
          <t>Riverside Supply Inc.</t>
        </is>
      </c>
      <c r="F9" s="5" t="n">
        <v>2750</v>
      </c>
      <c r="G9" s="6" t="n">
        <v>0.07000000000000001</v>
      </c>
      <c r="H9" s="5">
        <f>F9*G9</f>
        <v/>
      </c>
      <c r="I9" s="6" t="n">
        <v>0</v>
      </c>
      <c r="J9" s="5">
        <f>F9*I9</f>
        <v/>
      </c>
      <c r="K9" s="6">
        <f>IFERROR(VLOOKUP(E9,Instructions!$A$2:$D$10,3,FALSE),0.04)</f>
        <v/>
      </c>
      <c r="L9" s="5">
        <f>MIN(F9*(G9+I9),F9*K9)</f>
        <v/>
      </c>
      <c r="M9" s="5">
        <f>(F9-H9-J9)*0.0765</f>
        <v/>
      </c>
      <c r="N9" s="5">
        <f>(F9-H9-J9)*0.12</f>
        <v/>
      </c>
      <c r="O9" s="5">
        <f>(F9-H9-J9)*0.04</f>
        <v/>
      </c>
      <c r="P9" s="7" t="n">
        <v>35</v>
      </c>
      <c r="Q9" s="5">
        <f>F9-H9-J9-M9-N9-O9-P9+L9</f>
        <v/>
      </c>
      <c r="R9" s="5">
        <f>SUM($H$3:H9)+SUM($J$3:J9)</f>
        <v/>
      </c>
      <c r="S9" s="5">
        <f>SUM($L$3:L9)</f>
        <v/>
      </c>
      <c r="T9" s="4">
        <f>IF(R9&gt;23000,"Over annual limit","Within limit")</f>
        <v/>
      </c>
    </row>
    <row r="10">
      <c r="A10" s="8" t="inlineStr">
        <is>
          <t>04/10/2026</t>
        </is>
      </c>
      <c r="B10" s="8" t="inlineStr">
        <is>
          <t>03/27/2026</t>
        </is>
      </c>
      <c r="C10" s="8" t="inlineStr">
        <is>
          <t>04/09/2026</t>
        </is>
      </c>
      <c r="D10" s="9" t="inlineStr">
        <is>
          <t>Ashley Moore - Charlotte, NC</t>
        </is>
      </c>
      <c r="E10" s="9" t="inlineStr">
        <is>
          <t>Oakwood Consulting LLC</t>
        </is>
      </c>
      <c r="F10" s="10" t="n">
        <v>1950</v>
      </c>
      <c r="G10" s="11" t="n">
        <v>0.03</v>
      </c>
      <c r="H10" s="10">
        <f>F10*G10</f>
        <v/>
      </c>
      <c r="I10" s="11" t="n">
        <v>0.02</v>
      </c>
      <c r="J10" s="10">
        <f>F10*I10</f>
        <v/>
      </c>
      <c r="K10" s="11">
        <f>IFERROR(VLOOKUP(E10,Instructions!$A$2:$D$10,3,FALSE),0.04)</f>
        <v/>
      </c>
      <c r="L10" s="10">
        <f>MIN(F10*(G10+I10),F10*K10)</f>
        <v/>
      </c>
      <c r="M10" s="10">
        <f>(F10-H10-J10)*0.0765</f>
        <v/>
      </c>
      <c r="N10" s="10">
        <f>(F10-H10-J10)*0.12</f>
        <v/>
      </c>
      <c r="O10" s="10">
        <f>(F10-H10-J10)*0.04</f>
        <v/>
      </c>
      <c r="P10" s="7" t="n">
        <v>40</v>
      </c>
      <c r="Q10" s="10">
        <f>F10-H10-J10-M10-N10-O10-P10+L10</f>
        <v/>
      </c>
      <c r="R10" s="10">
        <f>SUM($H$3:H10)+SUM($J$3:J10)</f>
        <v/>
      </c>
      <c r="S10" s="10">
        <f>SUM($L$3:L10)</f>
        <v/>
      </c>
      <c r="T10" s="9">
        <f>IF(R10&gt;23000,"Over annual limit","Within limit")</f>
        <v/>
      </c>
    </row>
    <row r="11">
      <c r="A11" s="3" t="inlineStr">
        <is>
          <t>04/24/2026</t>
        </is>
      </c>
      <c r="B11" s="3" t="inlineStr">
        <is>
          <t>04/10/2026</t>
        </is>
      </c>
      <c r="C11" s="3" t="inlineStr">
        <is>
          <t>04/23/2026</t>
        </is>
      </c>
      <c r="D11" s="4" t="inlineStr">
        <is>
          <t>Christopher Taylor - Dallas, TX</t>
        </is>
      </c>
      <c r="E11" s="4" t="inlineStr">
        <is>
          <t>Lakeside Manufacturing Co.</t>
        </is>
      </c>
      <c r="F11" s="5" t="n">
        <v>3350</v>
      </c>
      <c r="G11" s="6" t="n">
        <v>0.09</v>
      </c>
      <c r="H11" s="5">
        <f>F11*G11</f>
        <v/>
      </c>
      <c r="I11" s="6" t="n">
        <v>0</v>
      </c>
      <c r="J11" s="5">
        <f>F11*I11</f>
        <v/>
      </c>
      <c r="K11" s="6">
        <f>IFERROR(VLOOKUP(E11,Instructions!$A$2:$D$10,3,FALSE),0.04)</f>
        <v/>
      </c>
      <c r="L11" s="5">
        <f>MIN(F11*(G11+I11),F11*K11)</f>
        <v/>
      </c>
      <c r="M11" s="5">
        <f>(F11-H11-J11)*0.0765</f>
        <v/>
      </c>
      <c r="N11" s="5">
        <f>(F11-H11-J11)*0.12</f>
        <v/>
      </c>
      <c r="O11" s="5">
        <f>(F11-H11-J11)*0.04</f>
        <v/>
      </c>
      <c r="P11" s="7" t="n">
        <v>55</v>
      </c>
      <c r="Q11" s="5">
        <f>F11-H11-J11-M11-N11-O11-P11+L11</f>
        <v/>
      </c>
      <c r="R11" s="5">
        <f>SUM($H$3:H11)+SUM($J$3:J11)</f>
        <v/>
      </c>
      <c r="S11" s="5">
        <f>SUM($L$3:L11)</f>
        <v/>
      </c>
      <c r="T11" s="4">
        <f>IF(R11&gt;23000,"Over annual limit","Within limit")</f>
        <v/>
      </c>
    </row>
    <row r="12">
      <c r="A12" s="8" t="inlineStr">
        <is>
          <t>05/08/2026</t>
        </is>
      </c>
      <c r="B12" s="8" t="inlineStr">
        <is>
          <t>04/24/2026</t>
        </is>
      </c>
      <c r="C12" s="8" t="inlineStr">
        <is>
          <t>05/07/2026</t>
        </is>
      </c>
      <c r="D12" s="9" t="inlineStr">
        <is>
          <t>Jessica Anderson - Raleigh, NC</t>
        </is>
      </c>
      <c r="E12" s="9" t="inlineStr">
        <is>
          <t>Cedar Grove Retail Inc.</t>
        </is>
      </c>
      <c r="F12" s="10" t="n">
        <v>2600</v>
      </c>
      <c r="G12" s="11" t="n">
        <v>0.06</v>
      </c>
      <c r="H12" s="10">
        <f>F12*G12</f>
        <v/>
      </c>
      <c r="I12" s="11" t="n">
        <v>0.03</v>
      </c>
      <c r="J12" s="10">
        <f>F12*I12</f>
        <v/>
      </c>
      <c r="K12" s="11">
        <f>IFERROR(VLOOKUP(E12,Instructions!$A$2:$D$10,3,FALSE),0.04)</f>
        <v/>
      </c>
      <c r="L12" s="10">
        <f>MIN(F12*(G12+I12),F12*K12)</f>
        <v/>
      </c>
      <c r="M12" s="10">
        <f>(F12-H12-J12)*0.0765</f>
        <v/>
      </c>
      <c r="N12" s="10">
        <f>(F12-H12-J12)*0.12</f>
        <v/>
      </c>
      <c r="O12" s="10">
        <f>(F12-H12-J12)*0.04</f>
        <v/>
      </c>
      <c r="P12" s="7" t="n">
        <v>30</v>
      </c>
      <c r="Q12" s="10">
        <f>F12-H12-J12-M12-N12-O12-P12+L12</f>
        <v/>
      </c>
      <c r="R12" s="10">
        <f>SUM($H$3:H12)+SUM($J$3:J12)</f>
        <v/>
      </c>
      <c r="S12" s="10">
        <f>SUM($L$3:L12)</f>
        <v/>
      </c>
      <c r="T12" s="9">
        <f>IF(R12&gt;23000,"Over annual limit","Within limit")</f>
        <v/>
      </c>
    </row>
  </sheetData>
  <autoFilter ref="A2:T12"/>
  <mergeCells count="1">
    <mergeCell ref="A1:T1"/>
  </mergeCells>
  <conditionalFormatting sqref="T3:T12">
    <cfRule type="expression" priority="1" dxfId="0">
      <formula>$T3="Over annual limit"</formula>
    </cfRule>
  </conditionalFormatting>
  <conditionalFormatting sqref="Q3:Q12">
    <cfRule type="expression" priority="2" dxfId="1">
      <formula>Q3&gt;0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4" customWidth="1" min="3" max="3"/>
    <col width="16" customWidth="1" min="4" max="4"/>
    <col width="16" customWidth="1" min="5" max="5"/>
    <col width="16" customWidth="1" min="6" max="6"/>
  </cols>
  <sheetData>
    <row r="1">
      <c r="A1" s="12" t="inlineStr">
        <is>
          <t>401(k) Summary Dashboard</t>
        </is>
      </c>
    </row>
    <row r="2"/>
    <row r="3">
      <c r="A3" s="13" t="inlineStr">
        <is>
          <t>Metric</t>
        </is>
      </c>
      <c r="B3" s="13" t="inlineStr">
        <is>
          <t>Value</t>
        </is>
      </c>
    </row>
    <row r="4">
      <c r="A4" s="4" t="inlineStr">
        <is>
          <t>Total Gross Pay</t>
        </is>
      </c>
      <c r="B4" s="5">
        <f>SUM('Paycheck Tracker'!F:F)</f>
        <v/>
      </c>
    </row>
    <row r="5">
      <c r="A5" s="9" t="inlineStr">
        <is>
          <t>Total Pre-Tax 401(k)</t>
        </is>
      </c>
      <c r="B5" s="10">
        <f>SUM('Paycheck Tracker'!H:H)</f>
        <v/>
      </c>
    </row>
    <row r="6">
      <c r="A6" s="4" t="inlineStr">
        <is>
          <t>Total Roth 401(k)</t>
        </is>
      </c>
      <c r="B6" s="5">
        <f>SUM('Paycheck Tracker'!J:J)</f>
        <v/>
      </c>
    </row>
    <row r="7">
      <c r="A7" s="9" t="inlineStr">
        <is>
          <t>Total Employee 401(k) Contributions</t>
        </is>
      </c>
      <c r="B7" s="10">
        <f>SUM('Paycheck Tracker'!H:H,'Paycheck Tracker'!J:J)</f>
        <v/>
      </c>
    </row>
    <row r="8">
      <c r="A8" s="4" t="inlineStr">
        <is>
          <t>Total Employer Match</t>
        </is>
      </c>
      <c r="B8" s="5">
        <f>SUM('Paycheck Tracker'!L:L)</f>
        <v/>
      </c>
    </row>
    <row r="9">
      <c r="A9" s="9" t="inlineStr">
        <is>
          <t>Average Contribution Rate</t>
        </is>
      </c>
      <c r="B9" s="11">
        <f>AVERAGE('Paycheck Tracker'!G:G,'Paycheck Tracker'!I:I)</f>
        <v/>
      </c>
    </row>
    <row r="10">
      <c r="A10" s="4" t="inlineStr">
        <is>
          <t>Number of Paychecks</t>
        </is>
      </c>
      <c r="B10" s="14">
        <f>COUNTIF('Paycheck Tracker'!$A:$A,"&lt;&gt;")-1</f>
        <v/>
      </c>
    </row>
    <row r="11">
      <c r="A11" s="9" t="inlineStr">
        <is>
          <t>Paychecks Over Annual Limit</t>
        </is>
      </c>
      <c r="B11" s="15">
        <f>COUNTIF('Paycheck Tracker'!T:T,"Over annual limit")</f>
        <v/>
      </c>
    </row>
    <row r="12">
      <c r="A12" s="4" t="inlineStr">
        <is>
          <t>Remaining Amount to IRS Annual Limit</t>
        </is>
      </c>
      <c r="B12" s="5">
        <f>23000-SUM('Paycheck Tracker'!H:H,'Paycheck Tracker'!J:J)</f>
        <v/>
      </c>
    </row>
    <row r="13">
      <c r="A13" s="9" t="inlineStr">
        <is>
          <t>% of Annual Limit Used</t>
        </is>
      </c>
      <c r="B13" s="11">
        <f>IFERROR(SUM('Paycheck Tracker'!H:H,'Paycheck Tracker'!J:J)/23000,0)</f>
        <v/>
      </c>
    </row>
    <row r="14">
      <c r="A14" s="4" t="inlineStr">
        <is>
          <t>Estimated Annual Employer Match (Projected)</t>
        </is>
      </c>
      <c r="B14" s="5">
        <f>SUM('Paycheck Tracker'!L:L)/10*26</f>
        <v/>
      </c>
    </row>
    <row r="15"/>
    <row r="16"/>
    <row r="17">
      <c r="A17" s="16" t="inlineStr">
        <is>
          <t>Retirement Funding Mix</t>
        </is>
      </c>
    </row>
    <row r="18">
      <c r="A18" s="17" t="inlineStr">
        <is>
          <t>Category</t>
        </is>
      </c>
      <c r="B18" s="17" t="inlineStr">
        <is>
          <t>Amount</t>
        </is>
      </c>
    </row>
    <row r="19">
      <c r="A19" s="18" t="inlineStr">
        <is>
          <t>Pre-Tax 401(k)</t>
        </is>
      </c>
      <c r="B19" s="19">
        <f>B5</f>
        <v/>
      </c>
    </row>
    <row r="20">
      <c r="A20" s="18" t="inlineStr">
        <is>
          <t>Roth 401(k)</t>
        </is>
      </c>
      <c r="B20" s="19">
        <f>B6</f>
        <v/>
      </c>
    </row>
    <row r="21">
      <c r="A21" s="18" t="inlineStr">
        <is>
          <t>Employer Match</t>
        </is>
      </c>
      <c r="B21" s="19">
        <f>B8</f>
        <v/>
      </c>
    </row>
  </sheetData>
  <mergeCells count="2">
    <mergeCell ref="A1:F1"/>
    <mergeCell ref="A17:B17"/>
  </mergeCells>
  <conditionalFormatting sqref="B12">
    <cfRule type="expression" priority="1" dxfId="0">
      <formula>$B12&gt;0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4" customWidth="1" min="3" max="3"/>
    <col width="40" customWidth="1" min="4" max="4"/>
  </cols>
  <sheetData>
    <row r="1">
      <c r="A1" s="12" t="inlineStr">
        <is>
          <t>Instructions &amp; Employer Match Rules</t>
        </is>
      </c>
    </row>
    <row r="2">
      <c r="A2" s="2" t="inlineStr">
        <is>
          <t>Employer</t>
        </is>
      </c>
      <c r="B2" s="2" t="inlineStr">
        <is>
          <t>Match %</t>
        </is>
      </c>
      <c r="C2" s="2" t="inlineStr">
        <is>
          <t>Match Cap %</t>
        </is>
      </c>
      <c r="D2" s="2" t="inlineStr">
        <is>
          <t>Notes</t>
        </is>
      </c>
    </row>
    <row r="3">
      <c r="A3" s="4" t="inlineStr">
        <is>
          <t>Summit Builders LLC</t>
        </is>
      </c>
      <c r="B3" s="6" t="n">
        <v>0.5</v>
      </c>
      <c r="C3" s="6" t="n">
        <v>0.06</v>
      </c>
      <c r="D3" s="4" t="inlineStr">
        <is>
          <t>Matches 50 cents per $1 up to 6% of pay</t>
        </is>
      </c>
    </row>
    <row r="4">
      <c r="A4" s="9" t="inlineStr">
        <is>
          <t>Riverside Supply Inc.</t>
        </is>
      </c>
      <c r="B4" s="11" t="n">
        <v>1</v>
      </c>
      <c r="C4" s="11" t="n">
        <v>0.04</v>
      </c>
      <c r="D4" s="9" t="inlineStr">
        <is>
          <t>Dollar-for-dollar match up to 4% of pay</t>
        </is>
      </c>
    </row>
    <row r="5">
      <c r="A5" s="4" t="inlineStr">
        <is>
          <t>Oakwood Consulting LLC</t>
        </is>
      </c>
      <c r="B5" s="6" t="n">
        <v>0.5</v>
      </c>
      <c r="C5" s="6" t="n">
        <v>0.05</v>
      </c>
      <c r="D5" s="4" t="inlineStr">
        <is>
          <t>Matches 50 cents per $1 up to 5% of pay</t>
        </is>
      </c>
    </row>
    <row r="6">
      <c r="A6" s="9" t="inlineStr">
        <is>
          <t>Lakeside Manufacturing Co.</t>
        </is>
      </c>
      <c r="B6" s="11" t="n">
        <v>0.25</v>
      </c>
      <c r="C6" s="11" t="n">
        <v>0.06</v>
      </c>
      <c r="D6" s="9" t="inlineStr">
        <is>
          <t>Matches 25 cents per $1 up to 6% of pay</t>
        </is>
      </c>
    </row>
    <row r="7">
      <c r="A7" s="4" t="inlineStr">
        <is>
          <t>Cedar Grove Retail Inc.</t>
        </is>
      </c>
      <c r="B7" s="6" t="n">
        <v>1</v>
      </c>
      <c r="C7" s="6" t="n">
        <v>0.03</v>
      </c>
      <c r="D7" s="4" t="inlineStr">
        <is>
          <t>Dollar-for-dollar match up to 3% of pay</t>
        </is>
      </c>
    </row>
    <row r="8"/>
    <row r="9">
      <c r="A9" s="18" t="inlineStr"/>
      <c r="B9" s="18" t="inlineStr"/>
      <c r="C9" s="18" t="inlineStr"/>
      <c r="D9" s="18" t="inlineStr"/>
    </row>
    <row r="10">
      <c r="A10" s="18" t="inlineStr"/>
      <c r="B10" s="18" t="inlineStr"/>
      <c r="C10" s="18" t="inlineStr"/>
      <c r="D10" s="18" t="inlineStr"/>
    </row>
    <row r="11"/>
    <row r="12"/>
    <row r="13">
      <c r="A13" s="16" t="inlineStr">
        <is>
          <t>How to Use This Workbook</t>
        </is>
      </c>
    </row>
    <row r="14">
      <c r="A14" s="20" t="inlineStr">
        <is>
          <t>1. Enter each paycheck on the Paycheck Tracker sheet: pay date, pay period dates, employee name, and employer.</t>
        </is>
      </c>
    </row>
    <row r="15">
      <c r="A15" s="20" t="inlineStr">
        <is>
          <t>2. Enter Gross Pay, Pre-Tax 401(k) Deferral %, and Roth 401(k) Deferral % for each paycheck (yellow cells are editable inputs).</t>
        </is>
      </c>
    </row>
    <row r="16">
      <c r="A16" s="20" t="inlineStr">
        <is>
          <t>3. Pre-Tax 401(k) contributions reduce taxable income now; Roth 401(k) contributions are taxed now but grow tax-free.</t>
        </is>
      </c>
    </row>
    <row r="17">
      <c r="A17" s="20" t="inlineStr">
        <is>
          <t>4. Employer Match Cap % is automatically looked up from the employer match rule table above using VLOOKUP.</t>
        </is>
      </c>
    </row>
    <row r="18">
      <c r="A18" s="20" t="inlineStr">
        <is>
          <t>5. Employer match dollar amount is capped at the lesser of total employee deferral or gross pay times the match cap %.</t>
        </is>
      </c>
    </row>
    <row r="19">
      <c r="A19" s="20" t="inlineStr">
        <is>
          <t>6. FICA (7.65%), Federal (12%), and State (4%) tax estimates are simplified sample calculations based on taxable pay after 401(k) deferrals.</t>
        </is>
      </c>
    </row>
    <row r="20">
      <c r="A20" s="20" t="inlineStr">
        <is>
          <t xml:space="preserve">   Adjust these percentages on the Paycheck Tracker sheet to match actual withholding for more accurate net pay figures.</t>
        </is>
      </c>
    </row>
    <row r="21">
      <c r="A21" s="20" t="inlineStr">
        <is>
          <t>7. YTD 401(k) Contributions and YTD Employer Match accumulate automatically down the Paycheck Tracker sheet.</t>
        </is>
      </c>
    </row>
    <row r="22">
      <c r="A22" s="20" t="inlineStr">
        <is>
          <t>8. The Contribution Limit Check column flags paychecks once YTD employee contributions exceed the 2026 IRS annual</t>
        </is>
      </c>
    </row>
    <row r="23">
      <c r="A23" s="20" t="inlineStr">
        <is>
          <t xml:space="preserve">   employee deferral limit of $23,000 (per IRS elective deferral limit; verify current-year limit before relying on this figure).</t>
        </is>
      </c>
    </row>
    <row r="24">
      <c r="A24" s="20" t="inlineStr">
        <is>
          <t>9. Employer match rules vary by company. Update the table above to reflect your actual employer's plan document.</t>
        </is>
      </c>
    </row>
    <row r="25">
      <c r="A25" s="20" t="inlineStr">
        <is>
          <t>10. Review the Summary Dashboard sheet for totals, contribution rate averages, and charts showing contribution trends.</t>
        </is>
      </c>
    </row>
  </sheetData>
  <mergeCells count="14">
    <mergeCell ref="A1:D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2026-07-13T04:56:21Z</dcterms:created>
  <dcterms:modified xmlns:dcterms="http://purl.org/dc/terms/" xmlns:xsi="http://www.w3.org/2001/XMLSchema-instance" xsi:type="dcterms:W3CDTF">2026-07-13T04:56:21Z</dcterms:modified>
</cp:coreProperties>
</file>